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C:\Users\Acer\Downloads\"/>
    </mc:Choice>
  </mc:AlternateContent>
  <xr:revisionPtr revIDLastSave="0" documentId="13_ncr:1_{A49F277B-8A7F-443B-B66D-026B098AAF0D}" xr6:coauthVersionLast="47" xr6:coauthVersionMax="47" xr10:uidLastSave="{00000000-0000-0000-0000-000000000000}"/>
  <bookViews>
    <workbookView xWindow="-108" yWindow="-108" windowWidth="23256" windowHeight="12456" tabRatio="766" xr2:uid="{00000000-000D-0000-FFFF-FFFF00000000}"/>
  </bookViews>
  <sheets>
    <sheet name="1. Mapa y plan de tratamiento" sheetId="5" r:id="rId1"/>
    <sheet name="2. Evaluación de controles" sheetId="8" r:id="rId2"/>
    <sheet name="Anexos" sheetId="7" r:id="rId3"/>
    <sheet name="Criterios" sheetId="9" state="hidden" r:id="rId4"/>
  </sheets>
  <externalReferences>
    <externalReference r:id="rId5"/>
  </externalReferences>
  <definedNames>
    <definedName name="_xlnm._FilterDatabase" localSheetId="1" hidden="1">'2. Evaluación de controles'!#REF!</definedName>
    <definedName name="_xlnm.Print_Area" localSheetId="0">'1. Mapa y plan de tratamiento'!$A$1:$AW$20</definedName>
    <definedName name="_xlnm.Print_Area" localSheetId="1">'2. Evaluación de controles'!$A$48:$W$77</definedName>
    <definedName name="_xlnm.Print_Area" localSheetId="2">Anexos!$A$1:$G$45</definedName>
    <definedName name="_xlnm.Print_Titles" localSheetId="1">'2. Evaluación de controles'!$2:$5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R14" i="5" l="1"/>
  <c r="AS14" i="5" s="1"/>
  <c r="AR13" i="5"/>
  <c r="AR12" i="5"/>
  <c r="AS12" i="5" s="1"/>
  <c r="AR11" i="5"/>
  <c r="AS11" i="5" s="1"/>
  <c r="AS17" i="5"/>
  <c r="AS13" i="5"/>
  <c r="AM11" i="5"/>
  <c r="AL15" i="5"/>
  <c r="AL12" i="5"/>
  <c r="AL11" i="5"/>
  <c r="AM17" i="5"/>
  <c r="AG17" i="5"/>
  <c r="AF15" i="5"/>
  <c r="AF14" i="5"/>
  <c r="AF13" i="5"/>
  <c r="AF12" i="5"/>
  <c r="AA12" i="5"/>
  <c r="AA11" i="5"/>
  <c r="AG11" i="5" s="1"/>
  <c r="AF11" i="5"/>
  <c r="K106" i="8"/>
  <c r="I106" i="8"/>
  <c r="Q106" i="8" s="1"/>
  <c r="R106" i="8" s="1"/>
  <c r="K105" i="8"/>
  <c r="I105" i="8"/>
  <c r="K104" i="8"/>
  <c r="I104" i="8"/>
  <c r="K103" i="8"/>
  <c r="I103" i="8"/>
  <c r="Q103" i="8" s="1"/>
  <c r="K102" i="8"/>
  <c r="I102" i="8"/>
  <c r="Q102" i="8" s="1"/>
  <c r="K101" i="8"/>
  <c r="I101" i="8"/>
  <c r="K100" i="8"/>
  <c r="I100" i="8"/>
  <c r="K99" i="8"/>
  <c r="I99" i="8"/>
  <c r="Q99" i="8" s="1"/>
  <c r="E99" i="8"/>
  <c r="K98" i="8"/>
  <c r="I98" i="8"/>
  <c r="Q98" i="8" s="1"/>
  <c r="R98" i="8" s="1"/>
  <c r="K97" i="8"/>
  <c r="I97" i="8"/>
  <c r="K96" i="8"/>
  <c r="I96" i="8"/>
  <c r="K95" i="8"/>
  <c r="I95" i="8"/>
  <c r="Q95" i="8" s="1"/>
  <c r="K94" i="8"/>
  <c r="I94" i="8"/>
  <c r="Q94" i="8" s="1"/>
  <c r="K93" i="8"/>
  <c r="I93" i="8"/>
  <c r="E93" i="8"/>
  <c r="K92" i="8"/>
  <c r="I92" i="8"/>
  <c r="Q92" i="8" s="1"/>
  <c r="R92" i="8" s="1"/>
  <c r="K91" i="8"/>
  <c r="I91" i="8"/>
  <c r="Q91" i="8" s="1"/>
  <c r="R91" i="8" s="1"/>
  <c r="K90" i="8"/>
  <c r="I90" i="8"/>
  <c r="Q90" i="8" s="1"/>
  <c r="K89" i="8"/>
  <c r="I89" i="8"/>
  <c r="K88" i="8"/>
  <c r="I88" i="8"/>
  <c r="Q88" i="8" s="1"/>
  <c r="K87" i="8"/>
  <c r="I87" i="8"/>
  <c r="Q87" i="8" s="1"/>
  <c r="E87" i="8"/>
  <c r="Q89" i="8" l="1"/>
  <c r="Q100" i="8"/>
  <c r="Q104" i="8"/>
  <c r="R104" i="8" s="1"/>
  <c r="Q93" i="8"/>
  <c r="R93" i="8" s="1"/>
  <c r="R94" i="8" s="1"/>
  <c r="AM12" i="5"/>
  <c r="Q101" i="8"/>
  <c r="Q105" i="8"/>
  <c r="R105" i="8" s="1"/>
  <c r="S105" i="8" s="1"/>
  <c r="Q96" i="8"/>
  <c r="Q97" i="8"/>
  <c r="R97" i="8" s="1"/>
  <c r="S97" i="8" s="1"/>
  <c r="S91" i="8"/>
  <c r="R99" i="8"/>
  <c r="R100" i="8" s="1"/>
  <c r="S99" i="8" s="1"/>
  <c r="R87" i="8"/>
  <c r="R88" i="8" s="1"/>
  <c r="S87" i="8" s="1"/>
  <c r="T93" i="8" l="1"/>
  <c r="U93" i="8" s="1"/>
  <c r="S93" i="8"/>
  <c r="R95" i="8"/>
  <c r="R96" i="8" s="1"/>
  <c r="S95" i="8" s="1"/>
  <c r="R101" i="8"/>
  <c r="R102" i="8" s="1"/>
  <c r="S101" i="8" s="1"/>
  <c r="R103" i="8"/>
  <c r="S103" i="8" s="1"/>
  <c r="T99" i="8" s="1"/>
  <c r="U99" i="8" s="1"/>
  <c r="R89" i="8"/>
  <c r="R90" i="8" s="1"/>
  <c r="S89" i="8" s="1"/>
  <c r="T87" i="8" s="1"/>
  <c r="U87" i="8" s="1"/>
  <c r="AG14" i="5" l="1"/>
  <c r="AG13" i="5"/>
  <c r="AM13" i="5" s="1"/>
  <c r="AG12" i="5" l="1"/>
  <c r="K75" i="8"/>
  <c r="I75" i="8"/>
  <c r="K74" i="8"/>
  <c r="I74" i="8"/>
  <c r="K73" i="8"/>
  <c r="I73" i="8"/>
  <c r="K72" i="8"/>
  <c r="I72" i="8"/>
  <c r="K71" i="8"/>
  <c r="I71" i="8"/>
  <c r="K70" i="8"/>
  <c r="I70" i="8"/>
  <c r="K69" i="8"/>
  <c r="I69" i="8"/>
  <c r="K68" i="8"/>
  <c r="I68" i="8"/>
  <c r="E68" i="8"/>
  <c r="K67" i="8"/>
  <c r="I67" i="8"/>
  <c r="K66" i="8"/>
  <c r="I66" i="8"/>
  <c r="K65" i="8"/>
  <c r="I65" i="8"/>
  <c r="K64" i="8"/>
  <c r="I64" i="8"/>
  <c r="K63" i="8"/>
  <c r="I63" i="8"/>
  <c r="K62" i="8"/>
  <c r="I62" i="8"/>
  <c r="E62" i="8"/>
  <c r="K61" i="8"/>
  <c r="I61" i="8"/>
  <c r="K60" i="8"/>
  <c r="I60" i="8"/>
  <c r="K59" i="8"/>
  <c r="I59" i="8"/>
  <c r="K58" i="8"/>
  <c r="I58" i="8"/>
  <c r="K57" i="8"/>
  <c r="I57" i="8"/>
  <c r="K56" i="8"/>
  <c r="I56" i="8"/>
  <c r="E56" i="8"/>
  <c r="Q61" i="8" l="1"/>
  <c r="R61" i="8" s="1"/>
  <c r="S60" i="8" s="1"/>
  <c r="Q68" i="8"/>
  <c r="Q63" i="8"/>
  <c r="Q56" i="8"/>
  <c r="Q60" i="8"/>
  <c r="R60" i="8" s="1"/>
  <c r="Q69" i="8"/>
  <c r="Q71" i="8"/>
  <c r="Q64" i="8"/>
  <c r="Q70" i="8"/>
  <c r="Q67" i="8"/>
  <c r="R67" i="8" s="1"/>
  <c r="Q75" i="8"/>
  <c r="R75" i="8" s="1"/>
  <c r="Q72" i="8"/>
  <c r="Q57" i="8"/>
  <c r="Q59" i="8"/>
  <c r="Q66" i="8"/>
  <c r="R66" i="8" s="1"/>
  <c r="S66" i="8" s="1"/>
  <c r="Q74" i="8"/>
  <c r="Q58" i="8"/>
  <c r="R68" i="8"/>
  <c r="Q62" i="8"/>
  <c r="R62" i="8" s="1"/>
  <c r="R63" i="8" s="1"/>
  <c r="Q65" i="8"/>
  <c r="Q73" i="8"/>
  <c r="R73" i="8" s="1"/>
  <c r="R56" i="8"/>
  <c r="R57" i="8" s="1"/>
  <c r="S56" i="8" s="1"/>
  <c r="R69" i="8" l="1"/>
  <c r="S68" i="8" s="1"/>
  <c r="S62" i="8"/>
  <c r="R64" i="8"/>
  <c r="R65" i="8" s="1"/>
  <c r="S64" i="8" s="1"/>
  <c r="T62" i="8" s="1"/>
  <c r="U62" i="8" s="1"/>
  <c r="R74" i="8"/>
  <c r="S74" i="8" s="1"/>
  <c r="R58" i="8"/>
  <c r="R59" i="8" s="1"/>
  <c r="S58" i="8" s="1"/>
  <c r="T56" i="8" s="1"/>
  <c r="U56" i="8" s="1"/>
  <c r="R70" i="8" l="1"/>
  <c r="R71" i="8" s="1"/>
  <c r="K33" i="8"/>
  <c r="K32" i="8"/>
  <c r="I33" i="8"/>
  <c r="I32" i="8"/>
  <c r="K15" i="8"/>
  <c r="E14" i="8"/>
  <c r="I14" i="8"/>
  <c r="K14" i="8"/>
  <c r="I15" i="8"/>
  <c r="I16" i="8"/>
  <c r="K16" i="8"/>
  <c r="I17" i="8"/>
  <c r="K17" i="8"/>
  <c r="I18" i="8"/>
  <c r="K18" i="8"/>
  <c r="I19" i="8"/>
  <c r="K19" i="8"/>
  <c r="E20" i="8"/>
  <c r="I20" i="8"/>
  <c r="K20" i="8"/>
  <c r="I21" i="8"/>
  <c r="K21" i="8"/>
  <c r="I22" i="8"/>
  <c r="K22" i="8"/>
  <c r="I23" i="8"/>
  <c r="K23" i="8"/>
  <c r="I24" i="8"/>
  <c r="K24" i="8"/>
  <c r="I25" i="8"/>
  <c r="K25" i="8"/>
  <c r="E26" i="8"/>
  <c r="I26" i="8"/>
  <c r="K26" i="8"/>
  <c r="I27" i="8"/>
  <c r="K27" i="8"/>
  <c r="I28" i="8"/>
  <c r="K28" i="8"/>
  <c r="I29" i="8"/>
  <c r="K29" i="8"/>
  <c r="I30" i="8"/>
  <c r="K30" i="8"/>
  <c r="I31" i="8"/>
  <c r="K31" i="8"/>
  <c r="E34" i="8"/>
  <c r="I34" i="8"/>
  <c r="K34" i="8"/>
  <c r="I35" i="8"/>
  <c r="K35" i="8"/>
  <c r="I36" i="8"/>
  <c r="K36" i="8"/>
  <c r="I37" i="8"/>
  <c r="K37" i="8"/>
  <c r="I38" i="8"/>
  <c r="K38" i="8"/>
  <c r="I39" i="8"/>
  <c r="K39" i="8"/>
  <c r="E40" i="8"/>
  <c r="I40" i="8"/>
  <c r="K40" i="8"/>
  <c r="I41" i="8"/>
  <c r="K41" i="8"/>
  <c r="I42" i="8"/>
  <c r="K42" i="8"/>
  <c r="I43" i="8"/>
  <c r="K43" i="8"/>
  <c r="I44" i="8"/>
  <c r="K44" i="8"/>
  <c r="I45" i="8"/>
  <c r="K45" i="8"/>
  <c r="Q32" i="8" l="1"/>
  <c r="S70" i="8"/>
  <c r="R72" i="8"/>
  <c r="S72" i="8" s="1"/>
  <c r="T68" i="8" s="1"/>
  <c r="U68" i="8" s="1"/>
  <c r="Q22" i="8"/>
  <c r="Q37" i="8"/>
  <c r="Q34" i="8"/>
  <c r="R34" i="8" s="1"/>
  <c r="Q21" i="8"/>
  <c r="Q33" i="8"/>
  <c r="R33" i="8" s="1"/>
  <c r="Q45" i="8"/>
  <c r="R45" i="8" s="1"/>
  <c r="S44" i="8" s="1"/>
  <c r="T40" i="8" s="1"/>
  <c r="U40" i="8" s="1"/>
  <c r="Q40" i="8"/>
  <c r="R40" i="8" s="1"/>
  <c r="Q35" i="8"/>
  <c r="Q31" i="8"/>
  <c r="R31" i="8" s="1"/>
  <c r="Q24" i="8"/>
  <c r="R24" i="8" s="1"/>
  <c r="Q28" i="8"/>
  <c r="Q41" i="8"/>
  <c r="Q30" i="8"/>
  <c r="Q27" i="8"/>
  <c r="Q42" i="8"/>
  <c r="R42" i="8" s="1"/>
  <c r="Q29" i="8"/>
  <c r="Q44" i="8"/>
  <c r="R44" i="8" s="1"/>
  <c r="Q25" i="8"/>
  <c r="R25" i="8" s="1"/>
  <c r="S24" i="8" s="1"/>
  <c r="Q39" i="8"/>
  <c r="R39" i="8" s="1"/>
  <c r="S38" i="8" s="1"/>
  <c r="Q17" i="8"/>
  <c r="Q43" i="8"/>
  <c r="Q36" i="8"/>
  <c r="R36" i="8" s="1"/>
  <c r="Q38" i="8"/>
  <c r="R38" i="8" s="1"/>
  <c r="Q26" i="8"/>
  <c r="R26" i="8" s="1"/>
  <c r="Q23" i="8"/>
  <c r="Q20" i="8"/>
  <c r="R20" i="8" s="1"/>
  <c r="Q19" i="8"/>
  <c r="R19" i="8" s="1"/>
  <c r="Q16" i="8"/>
  <c r="Q18" i="8"/>
  <c r="R18" i="8" s="1"/>
  <c r="Q14" i="8"/>
  <c r="R14" i="8" s="1"/>
  <c r="Q15" i="8"/>
  <c r="L11" i="5"/>
  <c r="R13" i="5"/>
  <c r="R19" i="5"/>
  <c r="R15" i="5"/>
  <c r="R11" i="5"/>
  <c r="L13" i="5"/>
  <c r="L15" i="5"/>
  <c r="L19" i="5"/>
  <c r="R37" i="8" l="1"/>
  <c r="S36" i="8" s="1"/>
  <c r="R35" i="8"/>
  <c r="S34" i="8" s="1"/>
  <c r="R21" i="8"/>
  <c r="S20" i="8" s="1"/>
  <c r="R32" i="8"/>
  <c r="S32" i="8" s="1"/>
  <c r="R43" i="8"/>
  <c r="S42" i="8" s="1"/>
  <c r="R27" i="8"/>
  <c r="R15" i="8"/>
  <c r="R41" i="8"/>
  <c r="S40" i="8" s="1"/>
  <c r="T34" i="8"/>
  <c r="U34" i="8" s="1"/>
  <c r="S18" i="8"/>
  <c r="R22" i="8" l="1"/>
  <c r="R23" i="8" s="1"/>
  <c r="S22" i="8" s="1"/>
  <c r="T20" i="8" s="1"/>
  <c r="U20" i="8" s="1"/>
  <c r="S26" i="8"/>
  <c r="R28" i="8"/>
  <c r="R29" i="8" s="1"/>
  <c r="S14" i="8"/>
  <c r="R16" i="8"/>
  <c r="R17" i="8" s="1"/>
  <c r="S16" i="8" s="1"/>
  <c r="T14" i="8" s="1"/>
  <c r="U14" i="8" s="1"/>
  <c r="S28" i="8" l="1"/>
  <c r="R30" i="8"/>
  <c r="S30" i="8" s="1"/>
  <c r="T26" i="8" s="1"/>
  <c r="U26" i="8" s="1"/>
</calcChain>
</file>

<file path=xl/sharedStrings.xml><?xml version="1.0" encoding="utf-8"?>
<sst xmlns="http://schemas.openxmlformats.org/spreadsheetml/2006/main" count="933" uniqueCount="308">
  <si>
    <t>PROCESO SISTEMA DE GESTIÓN
FORMATO MAPA DE RIESGOS</t>
  </si>
  <si>
    <t>Código:</t>
  </si>
  <si>
    <t>FOR-SG-013</t>
  </si>
  <si>
    <t>Versión:</t>
  </si>
  <si>
    <t>Fecha:</t>
  </si>
  <si>
    <t>Memo I2025005913 – 21/02/2025</t>
  </si>
  <si>
    <t>Página:</t>
  </si>
  <si>
    <t>1 de 3</t>
  </si>
  <si>
    <t>Clasificación: Información Pública</t>
  </si>
  <si>
    <t>Mapa de riesgos de:</t>
  </si>
  <si>
    <t>Gestión</t>
  </si>
  <si>
    <t>SECCIÓN A. Identificación y análisis</t>
  </si>
  <si>
    <t>SECCIÓN B. Valoración y tratamiento</t>
  </si>
  <si>
    <t>SECCIÓN C. Monitoreo y revisión</t>
  </si>
  <si>
    <t>Proceso</t>
  </si>
  <si>
    <t>Objetivo del proceso</t>
  </si>
  <si>
    <t>Actividad del proceso</t>
  </si>
  <si>
    <t>Circular y fecha de oficialización</t>
  </si>
  <si>
    <t>Código</t>
  </si>
  <si>
    <t>Causa raíz</t>
  </si>
  <si>
    <t>Riesgo</t>
  </si>
  <si>
    <t>Área de impacto</t>
  </si>
  <si>
    <t>Clasificación</t>
  </si>
  <si>
    <t>Riesgo Inherente</t>
  </si>
  <si>
    <t>Actividad de control</t>
  </si>
  <si>
    <t>Tipo de actividad de control</t>
  </si>
  <si>
    <t>Forma de ejecución de la actividad de control</t>
  </si>
  <si>
    <t>Riesgo Residual</t>
  </si>
  <si>
    <t>Decisión del líder de proceso</t>
  </si>
  <si>
    <t>Plan de tratamiento</t>
  </si>
  <si>
    <t>Monitoreo primer trimestre</t>
  </si>
  <si>
    <t>Monitoreo segundo trimestre</t>
  </si>
  <si>
    <t>Monitoreo tercer trimestre</t>
  </si>
  <si>
    <t>Monitoreo cuarto trimestre</t>
  </si>
  <si>
    <t>Probabilidad</t>
  </si>
  <si>
    <t>Impacto</t>
  </si>
  <si>
    <t>Nivel</t>
  </si>
  <si>
    <t>Actividades a desarrollar</t>
  </si>
  <si>
    <t>Responsable</t>
  </si>
  <si>
    <t>Indicador o criterio de medición</t>
  </si>
  <si>
    <t>Meta</t>
  </si>
  <si>
    <t>Fecha de inicio</t>
  </si>
  <si>
    <t>Fecha de terminación</t>
  </si>
  <si>
    <t>Fecha</t>
  </si>
  <si>
    <t>Nivel de avance del periodo</t>
  </si>
  <si>
    <t>Descripción de avances y evidencias</t>
  </si>
  <si>
    <t>Riesgo materializado</t>
  </si>
  <si>
    <t>Observaciones por parte de la segunda línea de defensa</t>
  </si>
  <si>
    <t>Nivel de avance acumulado</t>
  </si>
  <si>
    <t>Gestión Contractual</t>
  </si>
  <si>
    <t>El proceso de Gestión contractual adelanta las actividades de contratación requeridas por la entidad previstas en el plan de adquisiciones, que permitan contar con bienes, servicios y obras de manera efectiva, oportuna y cumpliendo la normatividad vigente de cada modalidad contractual, para  el cumplimiento de la misión de la entidad</t>
  </si>
  <si>
    <t>Realizar la estructura del proceso según su modalidad contractual.</t>
  </si>
  <si>
    <t>Circular No. 018 del 31/03/2025</t>
  </si>
  <si>
    <t>R-GEC-001</t>
  </si>
  <si>
    <t>1. Demoras por parte de las dependencias para iniciar el trámite a la liquidación de contratos o convenios en los tiempos estipulados o establecidos en cada uno de ellos.</t>
  </si>
  <si>
    <t>Posibilidad de incumplimiento de los términos legales o pactados para la liquidación de los contratos o convenios de la entidad, debido a los retrasos en las dependencias</t>
  </si>
  <si>
    <t>Económica</t>
  </si>
  <si>
    <t>Ejecución y administración de procesos</t>
  </si>
  <si>
    <t>40% - Baja</t>
  </si>
  <si>
    <t>60% - Moderado</t>
  </si>
  <si>
    <t>1. El Subdirector de Contratación o el (los) profesional (es) designado por el (la) Subdirector (a) de Contratación, remite la alerta una vez al mes, con corte de información mes vencido a los supervisores de contratos a través de correo electrónico, con el fin de recordar la obligación de tramitar la liquidación dentro de los términos establecidos. 
En caso que se identifique alguna demora de los supervisores se envían memorandos a los ordenadores de gasto. 
Como evidencia de esta actividad quedan los correos remitidos y Excel de alertas tempranas.</t>
  </si>
  <si>
    <t>Preventiva</t>
  </si>
  <si>
    <t>Manual</t>
  </si>
  <si>
    <t>20% - Muy baja</t>
  </si>
  <si>
    <t>Reducir</t>
  </si>
  <si>
    <t>El Subdirector de Contratación o el (los) profesional (es) designado por el (la) Subdirector (a) de Contratación.</t>
  </si>
  <si>
    <t>(Número de alertas de liquidaciones remitidas en el periodo / 11 alertas de liquidaciones programadas en la vigencia) * 100</t>
  </si>
  <si>
    <t>31/12/2025</t>
  </si>
  <si>
    <t>Durante el primer trimestre del 2025 se realizó el envío de las Bases de Alertas, a través del correo electrónico a las diferentes áreas de la entidad, donde se les informa cuales son las liquidaciones radicadas, el estado de cada liquidación y el histórico de los procesos informados anteriormente, para que puedan realizar las observaciones de cada proceso.
Como evidencia se anexa la base de alertas de liquidaciones del mes de febrero y marzo.</t>
  </si>
  <si>
    <t>NO</t>
  </si>
  <si>
    <t>15/04/2025 No se generan observaciones respecto a los avances y evidencias presentados en el monitoreo de riesgos de gestión.</t>
  </si>
  <si>
    <t>Durante el segundo trimestre del 2025 se realizó el envío de la Base de Alertas Tempranas, a través del correo electrónico a las diferentes áreas de la entidad, donde se les informa cuales son las liquidaciones radicadas, el estado de cada liquidación y el histórico de los procesos informados anteriormente, para que puedan realizar las observaciones de cada proceso.
Como evidencia se anexa la base de alertas de liquidaciones de los meses de abril, mayo y junio.</t>
  </si>
  <si>
    <t>09/07/2025 No se generan observaciones respecto a los avances y evidencias presentados en el monitoreo de riesgos de gestión.</t>
  </si>
  <si>
    <t xml:space="preserve">2. Posibilidad de perdida de competencia de las solicitudes de liquidación radicados y en trámite por la Subdirección de la Contratación. </t>
  </si>
  <si>
    <t>2. El (La) Subdirector (a) de Contratación o el (los) profesional (es) designado (s) por el (la) Subdirector (a) de Contratación, documenta mensualmente los trámites radicados por las dependencias en la base interna, priorizando los trámites próximos a perder competencia.
Cuando se recibe una solicitud donde ya se haya perdido la competencia para liquidar, se proyecta la resolución respectiva y se informa a la Oficina de Control Interno. 
Como evidencia de esta actividad queda la base interna de solicitudes de trámites liquidatorios.</t>
  </si>
  <si>
    <t>(Número de base de datos interna documentado / 12 bases de datos interna programados) * 100
Nota: 12 bases de datos.</t>
  </si>
  <si>
    <t xml:space="preserve">Durante el primer trimestre del 2025 se documentó por medio de la base de Liquidaciones la priorización de los trámites próximos a perder competencia.
Como evidencia se anexan las bases de datos correspondientes a los tres primeros meses con corte al último día hábil del mes. </t>
  </si>
  <si>
    <t>Durante el segundo trimestre del 2025 se documentó por medio de la base de Liquidaciones la priorización de los trámites próximos a perder competencia.
Como evidencia se anexan la base de datos correspondientes a los meses de abril, mayo y junio, con corte al último día hábil del mes.</t>
  </si>
  <si>
    <t>R-GEC-002</t>
  </si>
  <si>
    <t>1. Deficiencia en el cargue de la información en SECOP II derivada de la ejecución del proceso contractual, durante el ejercicio de la supervisión y/o interventoría.</t>
  </si>
  <si>
    <t>Posibilidad de incumplimiento de un objeto contractual (no aplica para los OPS), por la indebida supervisión de los contratos o convenios durante la etapa de ejecución, ocasionado afectación en el cumplimiento de metas institucionales.</t>
  </si>
  <si>
    <t>Económica y reputacional</t>
  </si>
  <si>
    <t>80% - Mayor</t>
  </si>
  <si>
    <t>1. El Subdirector de Contratación o el (los) profesional (es) designado por el (la)  Subdirector (a) de Contratación socializa cuatrimestralmente a los diferentes supervisores o apoyos a la supervisiones, directrices y lineamientos oficiales y vigentes referente a la contratación institucional, con el fin de ejercer una buena práctica de supervisión frente a los contratos y convenios suscritos por la entidad.
En caso de no poder hacer la socialización en el día definido se reprograma y realiza a la mayor brevedad posible.
Como evidencia de esta actividad queda registro de las socializaciones realizadas (presentaciones o actas o registro de asistencias o grabación.</t>
  </si>
  <si>
    <t>(Número de socializaciones realizadas de los lineamientos oficiales / 3 socializaciones programadas de los lineamientos oficiales) * 100</t>
  </si>
  <si>
    <t>Esta actividad está programada para reporte en el siguiente trimestre.</t>
  </si>
  <si>
    <t>15/04/2025 No se generan observaciones respecto al seguimiento presentado en el monitoreo de riesgos de gestión.</t>
  </si>
  <si>
    <t>La Subdirección de Contratación, en lo corrido del segundo trimestre de la vigencia 2025, adelantó el 30 de mayo, socialización  del tema "Estructuración de Procesos Contractuales de la SGDTH y lineamientos vigentes en el marco del SG" y el 13 de junio se llevó a cabo la socialización del Manual de Supervisión e interventoría dirigida a los supervisores y apoyos a la supervisión de contratos y convenios en la SDIS.
Como evidencia, se anexan los documentos relacionados, grabación y presentación de las socializaciones realizadas.</t>
  </si>
  <si>
    <t>Esta actividad está programada para realizarse en el último trimestre de la vigencia.</t>
  </si>
  <si>
    <t>2. Insuficiente seguimiento al cargue en el aplicativo SECOP II de los soportes de ejecución contractual.</t>
  </si>
  <si>
    <t>2. El Subdirector de Contratación o el (los) profesional (es) designado por el (la) Subdirector (a) de Contratación remite cuatrimestralmente un memorando dirigido a los supervisores de contratos y convenios, solicitando se realice la correcta verificación del cargue de los documentos que soportan la ejecución y pagos en el aplicativo SECOP II. 
En caso de no remitir el memorando en la periodicidad definida, se reprograma y realiza a la mayor brevedad posible.
Como evidencia de esta actividad quedan los memorandos dirigidos a los supervisores.</t>
  </si>
  <si>
    <t>(Número de memorandos emitidos / 3 memorandos programados) * 100</t>
  </si>
  <si>
    <t>En el segundo trimestre de la vigencia, se emitió el memorando número I2025022102 con el asunto: "Recomendaciones de buenas prácticas para la publicación y aprobación en la ejecución y supervisión de contratos y convenios", dirigido a los supervisores de contratos y convenios, para la correcta verificación del cargue de los documentos que soportan la ejecución y pagos en el aplicativo SECOP II. 
Se anexa documento en mención, como soporte.</t>
  </si>
  <si>
    <t>Esta actividad fue programada para reportarse en el último trimestre de la vigencia.</t>
  </si>
  <si>
    <t>R-GEC-004</t>
  </si>
  <si>
    <t>1. Insuficiente apropiación de las directrices del proceso de gestión contractual por parte de los equipos que apoyan la gestión contractual en cada dependencia, además del desconocimiento de los cambios en la regulación contractual.</t>
  </si>
  <si>
    <t>Posibilidad de no adquirir los bienes y afectación de los servicios requeridos por la entidad por externalidades, errores y la falta de controles en los trámites contractuales necesarios para la prestación de los servicios sociales.</t>
  </si>
  <si>
    <t>Interrupción / Eventos externos / Daños a activos fijos.</t>
  </si>
  <si>
    <t>60% - Media</t>
  </si>
  <si>
    <t>1. El (los) profesional (es) designado por el (la) Subdirector (a) de Contratación, cada vez que se actualiza algún procedimiento, lo socializa con los enlaces de contratación mediante comunicación oficial o jornadas de socialización con el propósito de divulgar los cambios realizados. 
Si no se realiza la socialización oportuna, se realizará una socialización masiva cada 3 meses. 
Como evidencia de esta actividad queda registro de las comunicaciones o jornadas de sensibilización.</t>
  </si>
  <si>
    <t>(Número de procedimientos del proceso Gestión contractual socializados / Número de procedimientos del proceso Gestión contractual actualizados en el periodo) * 100</t>
  </si>
  <si>
    <t>En lo corrido del primer trimestre de la vigencia 2025, se ha realizado actualización de los documentos pcd-gec-002 Procedimiento cobro persuasivo contractual, y los formatos asociados for-gec-018-v0 formato registro llamadas cobro persuasivo contractual, for-gec-020_v0 formato memorando traslado cobro persuasivo contractual, for-gec-021-v0 formato oficio cobro persuasivo contractual, al momento no se ha realizado la socialización de estos, se espera que en la segunda semana del mes de abril se realice la respectiva socialización.</t>
  </si>
  <si>
    <t>15/04/2025 No se generan observaciones respecto al seguimiento presentado en el monitoreo de riesgos de gestión.
Se recomienda adelantar todas las acciones pertinentes para no incurrir en la posible materialización del riesgo.</t>
  </si>
  <si>
    <t>En lo corrido del segundo trimestre de la vigencia 2025, se ha realizado actualización del
pcd-gec-002 Procedimiento cobro persuasivo contractual y sus formatos asociados.
Anexamos los documentos que dan cuenta de la socialización y la gestión realizada para dar cumplimiento.</t>
  </si>
  <si>
    <t>2. Contratación insuficiente de bienes y servicios por fallas en la planeación y por la falta de articulación entre las dependencias donde se estructuran y se ejecutan los procesos de contratación.</t>
  </si>
  <si>
    <t>2. El (los) profesional (es) designado por la Subdirección de Diseño, Evaluación y Sistematización realiza seguimiento a la ejecución presupuestal de los proyectos de inversión a través de la programación en el plan anual de adquisiciones, mediante la expedición de cartas de alerta dirigida a los gerentes de los proyectos de inversión de la SDIS. 
Si no realiza la carta de alerta, se remitirá otro tipo de comunicación al proyecto de inversión. 
Como evidencia quedan las cartas de alerta de seguimiento a los proyectos de inversión u otras comunicaciones oficiales.</t>
  </si>
  <si>
    <t>(Número de seguimientos realizados a los proyectos de inversión / Numero de seguimientos programados) * 100
Nota: Primer trimestre: 10% (Reporte con corte a febrero)
Segundo trimestre: 40% (Reporte con corte a marzo, abril y mayo).
Tercer trimestre 70%. (Reporte con corte a junio, julio y agosto)
Cuarto trimestre 100%. (Reporte con corte a septiembre, octubre y noviembre).</t>
  </si>
  <si>
    <t>Desde la Subdirección de Diseño, Evaluación y Sistematización, a través del equipo de diseño y monitoreo se realizó el seguimiento a los 13 proyectos de inversión del Plan Distrital de Desarrollo Bogotá Camina Segura, en su implementación durante el periodo de enero a febrero de 2025. El resultado de esta seguimiento son las cartas de recomendaciones y alertas para los gerentes de cada proyecto de inversión, con el fin de superar retrasos y mantener buenas prácticas dentro de los proyectos.</t>
  </si>
  <si>
    <t>Desde la Subdirección de Diseño, Evaluación y Sistematización, a través del equipo de diseño y monitoreo se realizó el seguimiento a los 13 proyectos de inversión del Plan Distrital de Desarrollo Bogotá Camina Segura, en su implementación emitiendo las cartas de alerta con los cortes de marzo, abril y mayo de 2025. 
El resultado de esta seguimiento son las cartas de recomendaciones y alertas para los gerentes de cada proyecto de inversión, con el fin de superar retrasos y mantener buenas prácticas dentro de los proyectos.</t>
  </si>
  <si>
    <t>Desde la Subdirección de Diseño, Evaluación y Sistematización, a través del equipo de diseño y monitoreo se realizó el seguimiento a los 13 proyectos de inversión del Plan Distrital de Desarrollo Bogotá Camina Segura, en su implementación emitiendo las cartas de alerta con los cortes de junio, julio y agosto de 2025. 
El resultado de esta seguimiento son las cartas de recomendaciones y alertas para los gerentes de cada proyecto de inversión, con el fin de superar retrasos y mantener buenas prácticas dentro de los proyectos.</t>
  </si>
  <si>
    <t>3. Insuficiencia  de controles para la planeación y seguimiento contractual.</t>
  </si>
  <si>
    <t>3. El profesional designado por la Subdirección de  Contratación, mensualmente verifica a través del tablero de control de SEVEN el envío de los reportes mensuales de la contratación a los gerentes de proyecto, en donde se registra de forma automática el seguimiento a la contratación institucional en las etapas pre contractual y contractual, con el propósito de prever la terminación no controlada de los contratos y poder tomar las acciones necesarias. 
Se realizará seguimiento por medio de los correos electrónicos de alerta generados.
Como evidencia de esta actividad queda el tablero de control SEVEN o el reporte cuantitativo de los correos electrónicos de alerta generados.</t>
  </si>
  <si>
    <t>(Reportes mensuales del estado de la contratación enviados / Numero de proyectos de inversión con contratos dentro del rango de cuatro meses próximos a vencer) * 100
Nota: Primer trimestre 25% (ene, feb y mar); segundo trimestre: 25% (abr, may y jun); tercer trimestre:25% (jul, ago y sep) y cuarto trimestre: 25% (oct y nov).</t>
  </si>
  <si>
    <t>Para el primer trimestre de la vigencia 2025, la Subdirección de Contratación realizó el envío por correo electrónico del tablero de control de las alertas generadas automáticamente por la plataforma SEVEN a los supervisores. Estas alertas se generan mes a mes por medio de la plataforma Seven, y en el mes de enero no se generaron alertas automaticas, por esta razón no se cuenta con un soporte del aplicativo.
Se anexa la muestra de las alertas enviadas de los meses febrero y marzo.</t>
  </si>
  <si>
    <t>Para el segundo trimestre de la vigencia 2025, la Subdirección de Contratación realizó el envío por correo electrónico del tablero de control de las alertas generadas automáticamente por la plataforma SEVEN a los supervisores. 
Estas alertas se generan mes a mes por medio de la plataforma Seven, se anexa la muestra de las alertas enviadas de los meses abril, mayo y junio.</t>
  </si>
  <si>
    <t>Para el tercer trimestre de la vigencia 2025, la Subdirección de Contratación realizó el envío por correo electrónico del tablero de control de las alertas generadas automáticamente por la plataforma SEVEN a los supervisores. 
Estas alertas se generan mes a mes por medio de la plataforma Seven, se anexa la muestra de las alertas enviadas de los meses julio, agosto y septiembre.</t>
  </si>
  <si>
    <t>4. Insuficiente apropiación de las directrices del proceso de Gestión contractual por parte de los equipos que apoyan la gestión contractual en cada dependencia, además del desconocimiento de los cambios en la regulación contractual.</t>
  </si>
  <si>
    <t>4. El (los) profesional (es) designado por el (la) Subdirector (a) de Contratación semestralmente realiza socializaciones o talleres de los lineamientos contractuales de bienes y servicios entre las dependencias que estructuran y ejecutan los contratos.
Sino se realizan las socializaciones o talleres se realizaran comunicados oficiales con los lineamientos. 
Cómo evidencia quedan las presentaciones y asistencias.</t>
  </si>
  <si>
    <t>(Numero de socializaciones realizadas / 2 socializaciones programadas) * 100</t>
  </si>
  <si>
    <t>Durante el primer trimestre se adelantaron las socializaciones en relación con los lineamientos contractuales de bienes y servicios entre las dependencias que estructuran y ejecutan los contratos. así: 
- 29/01/2025 - Sesión de Socialización para la estructuración y evaluación de los procesos contractuales de la SDGTH - se anexa presentación y link de sesión virtual.
- 21/03/2025 - Sesión sobre Estudios de Mercado - Grupo de Procesos-Subdirección de Contratación - se anexa presentación y listado de asistencia.</t>
  </si>
  <si>
    <t>Esta actividad fue reportada con un cumplimiento al 100% en el trimestre pasado.</t>
  </si>
  <si>
    <t>Esta actividad fue reportada con un cumplimiento al 100% en el primer trimestre.</t>
  </si>
  <si>
    <t>2 de 3</t>
  </si>
  <si>
    <r>
      <t>A continuación se presenta la evaluación realizada por la</t>
    </r>
    <r>
      <rPr>
        <b/>
        <sz val="11"/>
        <color theme="1"/>
        <rFont val="Arial"/>
        <family val="2"/>
      </rPr>
      <t xml:space="preserve"> primera línea </t>
    </r>
    <r>
      <rPr>
        <sz val="11"/>
        <color theme="1"/>
        <rFont val="Arial"/>
        <family val="2"/>
      </rPr>
      <t>como responsable del diseño de los controles establecidos para la mitigación de los riesgos.</t>
    </r>
  </si>
  <si>
    <t>Fecha de elaboración:</t>
  </si>
  <si>
    <t>Proceso:</t>
  </si>
  <si>
    <t>Nombres y apellidos del gestor de proceso:</t>
  </si>
  <si>
    <t>Yeina Rocío Aviles Barreiro</t>
  </si>
  <si>
    <t>CÓDIGO</t>
  </si>
  <si>
    <t>RIESGO</t>
  </si>
  <si>
    <t>PROBABILIDAD INHERENTE</t>
  </si>
  <si>
    <t>CAUSA</t>
  </si>
  <si>
    <t>CONTROL</t>
  </si>
  <si>
    <t>CRITERIOS DE EVALUACIÓN DEL DISEÑO DEL CONTROL</t>
  </si>
  <si>
    <t>APLICACIÓN DE CONTROLES PARA ESTABLECER RIESGO RESIDUAL</t>
  </si>
  <si>
    <t>PROBABILIDAD RESIDUAL</t>
  </si>
  <si>
    <t>1. Atributos de eficiencia</t>
  </si>
  <si>
    <t>2. Atributos informativos</t>
  </si>
  <si>
    <t>Total valoración del control</t>
  </si>
  <si>
    <t>Efectividad del control</t>
  </si>
  <si>
    <t>Efectividad del conjunto de controles</t>
  </si>
  <si>
    <t>Nivel de probabilidad residual</t>
  </si>
  <si>
    <t>Rango de califiación de la ejecución</t>
  </si>
  <si>
    <t>Descriptor</t>
  </si>
  <si>
    <t>Tipo de control</t>
  </si>
  <si>
    <t>Peso</t>
  </si>
  <si>
    <t>Implementación del control</t>
  </si>
  <si>
    <t>Documentación</t>
  </si>
  <si>
    <t>¿Se identifica claramente el propósito de la actividad de control?</t>
  </si>
  <si>
    <t>Frecuencia</t>
  </si>
  <si>
    <t>Evidencia</t>
  </si>
  <si>
    <t>Baja</t>
  </si>
  <si>
    <t>Preventivo</t>
  </si>
  <si>
    <t>Documentado</t>
  </si>
  <si>
    <t>Identificado</t>
  </si>
  <si>
    <t>Si</t>
  </si>
  <si>
    <t>Continua</t>
  </si>
  <si>
    <t>Con registro</t>
  </si>
  <si>
    <t xml:space="preserve">2. </t>
  </si>
  <si>
    <t>No aplica</t>
  </si>
  <si>
    <t xml:space="preserve">1. El (La) Subdirector (a) de Contratación o el (los) profesional (es) designado (s) por el (la) Subdirector (a) de Contratación, documenta mensualmente los trámites radicados por las dependencias en la base interna, priorizando los trámites próximos a perder competencia.
Cuando se recibe una solicitud donde ya se haya perdido la competencia para liquidar, se proyecta la resolución respectiva y se informa a la Oficina de Control Interno. 
Como evidencia de esta actividad queda la base interna de solicitudes de trámites liquidatorios </t>
  </si>
  <si>
    <t>3.</t>
  </si>
  <si>
    <t xml:space="preserve">1. </t>
  </si>
  <si>
    <t>Muy baja</t>
  </si>
  <si>
    <t>1. El Subdirector de Contratación o el (los) profesional (es) designado por el (la)  Subdirector (a) de Contratación socializa cuatrimestralmente a los diferentes supervisores o apoyos a la supervisiones, directrices y lineamientos oficiales y vigentes referente a la contratación institucional, con el fin de ejercer una buena práctica de supervisión frente a los contratos y convenios suscritos por la entidad.
En caso de no poder hacer la socialización en el día definido se reprograma y realiza a la mayor brevedad posible.
Como evidencia de esta actividad queda registro de las socializaciones realizadas (presentaciones o actas o registro de asistencias o grabación.</t>
  </si>
  <si>
    <t>1. El Subdirector de Contratación o el (los) profesional (es) designado por el (la)  Subdirector (a) de Contratación remite cuatrimestralmente un memorando dirigido a los supervisores de contratos y convenios, solicitando se realice la correcta verificación del cargue de los documentos que soportan la ejecución y pagos en el aplicativo SECOP II. 
Como evidencia de esta actividad quedan los memorandos dirigidos a los supervisores</t>
  </si>
  <si>
    <t>Media</t>
  </si>
  <si>
    <t>1. El (los) profesional (es) designado por el (la)  Subdirector (a) de Contratación, cada vez que se actualiza algún procedimiento, lo socializa con los enlaces de contratación mediante comunicación oficial o jornadas de socialización con el propósito de divulgar los cambios realizados. Si no se realiza la socialización oportuna, se realizará una socialización masiva cada 3 meses. 
Como evidencia de esta actividad queda registro de las comunicaciones o jornadas de sensibilización.</t>
  </si>
  <si>
    <t>1. El (los) profesional (es) designado por la  Subdirección de Diseño, Evaluación y Sistematización mensualmente  realiza seguimiento a la ejecución presupuestal de los proyectos de inversión a través de la programación en el plan anual de adquisiciones, mediante la expedición de cartas de alerta dirigida a los gerentes de los proyectos de inversión de la SDIS. 
Si no realiza la carta de alerta, se remitirá otro tipo de comunicación al proyecto de inversión. 
Como evidencia de esta actividad quedan las cartas de alerta de seguimiento a los proyectos de inversión u otras comunicaciones oficiales.</t>
  </si>
  <si>
    <t>3. Carencia de controles para la planeación y seguimiento contractual.</t>
  </si>
  <si>
    <t>1. El profesional designado por la Subdirección de  Contratación, mensualmente verifica a través del tablero de control de SEVEN el envío de los reportes mensuales de la contratación a los gerentes de proyecto, en donde se registra de forma automática el seguimiento a la contratación institucional en las etapas pre contractual y contractual, con el propósito de prever la terminación no controlada de los contratos y poder tomar las acciones necesarias. 
Se realizará seguimiento por medio de los correos electrónicos de alerta generados.
Como evidencia de esta actividad queda el tablero de control SEVEN o el reporte cuantitativo de los correos electrónicos de alerta generados.</t>
  </si>
  <si>
    <t>4. Inadecuadas políticas de operación.</t>
  </si>
  <si>
    <t>1. El (los) profesional (es) designado por el (la)  Subdirector (a) de Contratación semestralmente realiza socializaciones o talleres de los lineamientos contractuales de bienes y servicios entre las dependencias que estructuran y ejecutan los contratos.
Sino se realizan las socializaciones o talleres se realizaran comunicados oficiales con los lineamientos. 
Cómo evidencia quedan las presentaciones y asistencias.</t>
  </si>
  <si>
    <t>1.</t>
  </si>
  <si>
    <t>2.</t>
  </si>
  <si>
    <r>
      <t xml:space="preserve">A continuación se presenta el análisis realizado por la </t>
    </r>
    <r>
      <rPr>
        <b/>
        <sz val="11"/>
        <color theme="1"/>
        <rFont val="Arial"/>
        <family val="2"/>
      </rPr>
      <t xml:space="preserve">segunda línea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</si>
  <si>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Gestión contractual</t>
  </si>
  <si>
    <t>Nombres y apellidos del responsable de la revisión:</t>
  </si>
  <si>
    <t>David Andres Moncayo Nastar</t>
  </si>
  <si>
    <t>OBSERVACIONES AL DISEÑO DEL CONTROL</t>
  </si>
  <si>
    <t>El diseño del control cumple con la estructura y variables definidas en el Lineamiento Administración de riesgos vigente. Los atributos de eficiencia e informativos se califican de acuerdo con lo observado en el diseño y en coherencia con los soportes presentados en el primer monitoreo al riesgo.</t>
  </si>
  <si>
    <t>1. El (La) Subdirector (a) de Contratación o el (los) profesional (es) designado (s) por el (la) Subdirector (a) de Contratación, documenta mensualmente los trámites radicados por las dependencias en la base interna, priorizando los trámites próximos a perder competencia.
Cuando se recibe una solicitud donde ya se haya perdido la competencia para liquidar, se proyecta la resolución respectiva y se informa a la Oficina de Control Interno. 
Como evidencia de esta actividad queda la base interna de solicitudes de trámites liquidatorios.</t>
  </si>
  <si>
    <t>No se puede determinar la ejecución del control si ayuda o no a prevenir la mitigación del riesgo o a detectar su materialización de una manera adecuada ya que no se tenia programado en el periodo del primer monitoreo.</t>
  </si>
  <si>
    <t>No se puede determinar la ejecución del control si ayuda o no a prevenir la mitigación del riesgo o a detectar su materialización de una manera adecuada ya que no se ejecuto en el periodo del primer monitoreo.</t>
  </si>
  <si>
    <r>
      <t xml:space="preserve">A continuación se presenta la evaluación realizada por la </t>
    </r>
    <r>
      <rPr>
        <b/>
        <sz val="11"/>
        <color theme="1"/>
        <rFont val="Arial"/>
        <family val="2"/>
      </rPr>
      <t xml:space="preserve">tercera línea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</si>
  <si>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04/06/20025</t>
  </si>
  <si>
    <t>María Elcy Hernández Gaitán</t>
  </si>
  <si>
    <t>OBSERVACIONES A LA EJECUCIÓN DEL CONTROL</t>
  </si>
  <si>
    <t>Atributos de Eficiencia: sin observaciones
Atributos Informativos: sin observaciones.</t>
  </si>
  <si>
    <r>
      <t xml:space="preserve">De acuerdo con lo indicado en los reportes de monitoreo del (FOR-SG-013) SECCIÓN C. Monitoreo primer trimestre 2025, así, como las evidencias que respaldan su ejecución, se observó 2 correos y 2 archivos Excel de alertas tempranas emitidos por la Subdirección de contratación y remitidos a los ordenadores del gasto y supervisores de convenios suscritos por la SDIS, </t>
    </r>
    <r>
      <rPr>
        <b/>
        <sz val="10"/>
        <rFont val="Arial"/>
        <family val="2"/>
      </rPr>
      <t>por lo cual se concluye que a la fecha, el control se está ejecutando de acuerdo con lo programado.</t>
    </r>
  </si>
  <si>
    <t>De acuerdo con lo observado en los reportes de monitoreo del (FOR-SG-013) SECCIÓN C. Monitoreo primer trimestre 2025 y, considerando la programación del control, durante el primer reporte de monitoreo, no aplica registro.</t>
  </si>
  <si>
    <r>
      <t>De acuerdo con lo indicado en los reportes de monitoreo del (FOR-SG-013) SECCIÓN C. Monitoreo primer trimestre 2025, se ha realizado actualización del Procedimiento: pcd-gec-002 Procedimiento cobro persuasivo contractual y formatos asociados formato for-gec-018-v0, registro llamadas cobro persuasivo contractual, for-gec-020_v0, memorando traslado cobro persuasivo contractual, for-gec-021-v0 y oficio cobro persuasivo contractual, los cuales se identificaron en el sistema de Gestión, observando que, dichos documentos fueron actualizados a finales del mes de marzo 2025</t>
    </r>
    <r>
      <rPr>
        <b/>
        <sz val="10"/>
        <color theme="1"/>
        <rFont val="Arial"/>
        <family val="2"/>
      </rPr>
      <t>, por lo cual se recomienda ejecutar las acciones de socialización lo mas pronto posible, dado que se puede llegar a materializar el riesgo por falta de ejecución del control establecido.</t>
    </r>
  </si>
  <si>
    <r>
      <t xml:space="preserve">De acuerdo con los reportes de monitoreo del (FOR-SG-013) SECCIÓN C. Monitoreo primer trimestre 2025, así, como las evidencias que respaldan su ejecución, se observó las cartas emitidas por SDES en el mes de marzo 2025, correspondiente a las alertas y recomendaciones sobre el estado presupuestal, avance de actividades, metas plan, productos MGA y recomendaciones de los proyectos 7937,7938,7939.7940.7942.7943.7945,7946,7947,7948,7953,7955, y 8047, a corte del mes de febrero, </t>
    </r>
    <r>
      <rPr>
        <b/>
        <sz val="10"/>
        <color theme="1"/>
        <rFont val="Arial"/>
        <family val="2"/>
      </rPr>
      <t>por lo cual se concluye que a la fecha, el control se está ejecutando de acuerdo con lo programado.</t>
    </r>
  </si>
  <si>
    <r>
      <t xml:space="preserve">De acuerdo con los reportes de monitoreo del (FOR-SG-013) SECCIÓN C. Monitoreo primer trimestre 2025, así, como las evidencias que respaldan su ejecución, se observó que el I trimestre se realizaron las 2 socializaciones de los lineamientos contractuales de bienes y servicios entre las dependencias que estructuran y ejecutan los contratos, ejecutadas:
El 29/01/2025 según presentación, lista asistencia (31 colaboradores) y link de sesión virtual.
El  21/03/2025 - presentación y listado de asistencia (11 colaboradores).
</t>
    </r>
    <r>
      <rPr>
        <b/>
        <sz val="10"/>
        <color theme="1"/>
        <rFont val="Arial"/>
        <family val="2"/>
      </rPr>
      <t>Dado lo anterior, se concluye que a la fecha, el control se ejecutó de acuerdo con lo programado para la vigencia 2025, no obstante dentro del tiempo definido se especificó realizarlo semestralmente, por lo cual se recomienda ajustar el tiempo de ejecución de la actividad.</t>
    </r>
  </si>
  <si>
    <t>3 de 3</t>
  </si>
  <si>
    <t>Tabla 1. Clasificación de riesgos</t>
  </si>
  <si>
    <t>Categoría</t>
  </si>
  <si>
    <t>Pérdidas derivadas de errores en la ejecución y administración de procesos.</t>
  </si>
  <si>
    <t>Fraude externo</t>
  </si>
  <si>
    <t>Pérdida derivada de actos de fraude por personas ajenas a la organización (no participa personal de la entidad).</t>
  </si>
  <si>
    <t>Corrupción</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</si>
  <si>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</si>
  <si>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</si>
  <si>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Seguridad de la información</t>
  </si>
  <si>
    <t>Financiero</t>
  </si>
  <si>
    <t>Eventos que afecten los estados financieros y todas aquellas áreas involucradas con el proceso financiero como presupuesto, tesorería, contabilidad, cartera, central de cuentas, costos, etc.</t>
  </si>
  <si>
    <t>Fallas tecnológicas</t>
  </si>
  <si>
    <t>Errores en hardware, software, telecomunicaciones, interrupción de servicios básicos.</t>
  </si>
  <si>
    <t>Relaciones laborales</t>
  </si>
  <si>
    <t>Pérdidas que surgen de acciones contrarias a las leyes o acuerdos de empleo, salud o seguridad, del pago de demandas por daños personales o de discriminación.</t>
  </si>
  <si>
    <t>Reputacional</t>
  </si>
  <si>
    <t>Usuarios, productos y prácticas</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</si>
  <si>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</si>
  <si>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</si>
  <si>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De cumplimiento</t>
  </si>
  <si>
    <t>Eventos que afecten la situación jurídica o contractual de la organización debido a su incumplimiento o desacato a la normatividad legal y las obligaciones contractuales.</t>
  </si>
  <si>
    <t>Ambiental</t>
  </si>
  <si>
    <t>Posibilidad de que por forma natural o por acción humana se produzca daño en el medio ambiente.</t>
  </si>
  <si>
    <t>Fiscal</t>
  </si>
  <si>
    <t>Es el efecto dañoso sobre los recursos públicos y/o los bienes y/o intereses patrimoniales de naturaleza pública, a causa de un evento potencial.</t>
  </si>
  <si>
    <t>LA/FT- FPADM</t>
  </si>
  <si>
    <t>Posibilidad de pérdida o daño económico o reputacional que puede sufrir una persona natural o jurídica, al ser utilizada para el lavado de activos, financiación del terrorismo o de la proliferación de armas de destrucción masiva.</t>
  </si>
  <si>
    <t>Tabla 2. Niveles de probabilidad</t>
  </si>
  <si>
    <t>NIVEL</t>
  </si>
  <si>
    <t>DESCRIPTOR</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</si>
  <si>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</si>
  <si>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r>
      <t xml:space="preserve">DESCRIPCIÓN RIESGOS DE </t>
    </r>
    <r>
      <rPr>
        <b/>
        <sz val="10"/>
        <rFont val="Arial"/>
        <family val="2"/>
      </rPr>
      <t>CORRUPCIÓN</t>
    </r>
  </si>
  <si>
    <t>La actividad que conlleva el riesgo se ejecuta como máximos 2 veces por año</t>
  </si>
  <si>
    <t>El evento puede ocurrir solo en circunstancias excepcionales o no se ha presentado en los últimos 5 años.</t>
  </si>
  <si>
    <t>La actividad que conlleva el riesgo se ejecuta de 3 a 24 veces por año</t>
  </si>
  <si>
    <t>El evento puede ocurrir en algún momento o se ha presentado al menos 1 vez en los últimos 5 años.</t>
  </si>
  <si>
    <t>La actividad que conlleva el riesgo se ejecuta de 25 a 500 veces por año</t>
  </si>
  <si>
    <t>El evento podrá ocurrir en algún momento o se ha presentado al menos 1 vez en los últimos 2 años.</t>
  </si>
  <si>
    <t>Alta</t>
  </si>
  <si>
    <t>La actividad que conlleva el riesgo se ejecuta mínimo 500 veces al año y máximo 5000 veces por año</t>
  </si>
  <si>
    <t>Es viable que el evento ocurra en la mayoría de las circunstancias o se ha presentado al menos 1 vez en el último año.</t>
  </si>
  <si>
    <t>Muy alta</t>
  </si>
  <si>
    <t>La actividad que conlleva el riesgo se ejecuta más de 5000 veces por año</t>
  </si>
  <si>
    <t>Se espera que el evento ocurra en la mayoría de las circunstancias o se ha presentado más de 1 vez al año.</t>
  </si>
  <si>
    <t>Tabla 3. Niveles de impacto</t>
  </si>
  <si>
    <t>AFECTACIÓN ECONÓMICA</t>
  </si>
  <si>
    <t>AFECTACIÓN REPUTACIONAL</t>
  </si>
  <si>
    <t>Leve</t>
  </si>
  <si>
    <t>Afectación menor a 100 SMLMV.</t>
  </si>
  <si>
    <t>El riesgo afecta la imagen de algún área de la entidad.</t>
  </si>
  <si>
    <t>Menor</t>
  </si>
  <si>
    <t>Entre 100 y 500 SMLMV.</t>
  </si>
  <si>
    <t>El riesgo afecta la imagen de la entidad
internamente, de conocimiento general a nivel
interno, de alta o media dirección y/o de
proveedores.</t>
  </si>
  <si>
    <t>Moderado</t>
  </si>
  <si>
    <t>Entre 500 y 1000 SMLMV.</t>
  </si>
  <si>
    <t>El riesgo afecta la imagen de la entidad con
algunos usuarios de relevancia frente al logro
de los objetivos.</t>
  </si>
  <si>
    <t>Mayor</t>
  </si>
  <si>
    <t>Entre 1000 y 5000 SMLMV.</t>
  </si>
  <si>
    <t>El riesgo afecta la imagen de la entidad con
efecto publicitario sostenido a nivel de sector
administrativo, nivel departamental o municipal.</t>
  </si>
  <si>
    <t>Catastrófico</t>
  </si>
  <si>
    <t>Mayor a 5000 SMLMV.</t>
  </si>
  <si>
    <t>El riesgo afecta la imagen de la entidad a nivel
nacional, con efecto publicitario sostenido a
nivel país.</t>
  </si>
  <si>
    <t>Tabla 4. Mapa de calor</t>
  </si>
  <si>
    <t xml:space="preserve">                   \Impacto
                     \
Probabilidad\               </t>
  </si>
  <si>
    <t>20% - Leve</t>
  </si>
  <si>
    <t>40% - Menor</t>
  </si>
  <si>
    <t>100% - Catastrófico</t>
  </si>
  <si>
    <t>100% - Muy alta</t>
  </si>
  <si>
    <t>Alto</t>
  </si>
  <si>
    <t>Extremo</t>
  </si>
  <si>
    <t>80% - Alta</t>
  </si>
  <si>
    <t>Bajo</t>
  </si>
  <si>
    <t>Probabilidad / 
                     Impacto</t>
  </si>
  <si>
    <t xml:space="preserve">Riesgo materializado </t>
  </si>
  <si>
    <t>Forma de ejecución</t>
  </si>
  <si>
    <t>SI</t>
  </si>
  <si>
    <t>Detectiva</t>
  </si>
  <si>
    <t>Automática</t>
  </si>
  <si>
    <t>Establecer acciones</t>
  </si>
  <si>
    <t>Decisión del lider</t>
  </si>
  <si>
    <t>Aceptar</t>
  </si>
  <si>
    <t>Evitar</t>
  </si>
  <si>
    <t>Atributos de eficiencia</t>
  </si>
  <si>
    <t>Tipo</t>
  </si>
  <si>
    <t>Detectivo</t>
  </si>
  <si>
    <t>Correctivo</t>
  </si>
  <si>
    <t>Implementación</t>
  </si>
  <si>
    <t>Automático</t>
  </si>
  <si>
    <t>Atributos informativos</t>
  </si>
  <si>
    <t>Sin documentar</t>
  </si>
  <si>
    <t>No identificado</t>
  </si>
  <si>
    <t>Propósito</t>
  </si>
  <si>
    <t>Aleatoria</t>
  </si>
  <si>
    <t>No</t>
  </si>
  <si>
    <t>Sin registro</t>
  </si>
  <si>
    <t>Probabilidad Inherente</t>
  </si>
  <si>
    <t>Durante el tercer trimestre del 2025 se realizó el envío de la Base de Alertas Tempranas, a través del correo electrónico a las diferentes áreas de la entidad, donde se les informa cuales son las liquidaciones radicadas, el estado de cada liquidación y el histórico de los procesos informados anteriormente, para que puedan realizar las observaciones de cada proceso.
Como evidencia se anexa la base de alertas de liquidaciones de los meses de julio, agosto y septiembre.</t>
  </si>
  <si>
    <t>14/10/2025 No se generan observaciones respecto a los avances y evidencias presentados en el monitoreo de riesgos de gestión.</t>
  </si>
  <si>
    <t>Durante el tercer trimestre del 2025 se documentó por medio de la base de liquidaciones los procesos radicados y se realiza la priorización de los trámites próximos a perder competencia.
Como evidencia se anexan la base de datos correspondientes a los meses de julio, agosto y septiembre, con corte al último día hábil de cada mes.</t>
  </si>
  <si>
    <t>En lo corrido del tercer trimestre se realizó la actualización del manual de Supervisión e interventoría Código MNL-GEC-004 a la visión 1.
Anexamos los registros que dan cuenta de la socialización y la gestión realizada para dar cumplimiento</t>
  </si>
  <si>
    <t>14/10/2025 De acuerdo con la periodicidad establecida para el control (cuatrimestral), el segundo memorando se debió enviar hasta el mes de agosto, por lo cual se registra un 0% de avance en el periodo. De acuerdo con lo diseñado, se tiene pendiente el envio de dos memorandos para lo que resta de la vigencia. 
Se recomienda cumplir con las actividades dentro de los tiempos establecidos para prevenir la posible materialización del riesgo.</t>
  </si>
  <si>
    <r>
      <t xml:space="preserve">De acuerdo con lo indicado en los reportes de monitoreo del (FOR-SG-013) SECCIÓN C. Monitoreo primer trimestre 2025, así, como las evidencias que respaldan su ejecución, se observó  3 archivos Excel correspondiente a las bases interna de solicitudes de trámites liquidatorios de los meses de enero, febrero y marzo, por lo cual se concluye que, a la fecha el control se está ejecutando de acuerdo con lo programado para el I Trimestre 2025, no obstante </t>
    </r>
    <r>
      <rPr>
        <b/>
        <sz val="10"/>
        <rFont val="Arial"/>
        <family val="2"/>
      </rPr>
      <t xml:space="preserve">se recomienda indicar en el seguimiento que durante el período no se perdió la competencia para liquidar, por lo cual no se proyecta la resolución respectiva. </t>
    </r>
  </si>
  <si>
    <r>
      <rPr>
        <sz val="10"/>
        <color theme="1"/>
        <rFont val="Arial"/>
        <family val="2"/>
      </rPr>
      <t>De acuerdo con los reportes de monitoreo del (FOR-SG-013) SECCIÓN C. Monitoreo primer</t>
    </r>
    <r>
      <rPr>
        <b/>
        <sz val="11"/>
        <color theme="1"/>
        <rFont val="Arial"/>
        <family val="2"/>
      </rPr>
      <t xml:space="preserve"> </t>
    </r>
    <r>
      <rPr>
        <sz val="10"/>
        <color theme="1"/>
        <rFont val="Arial"/>
        <family val="2"/>
      </rPr>
      <t xml:space="preserve">trimestre 2025, así, como las evidencias que respaldan su ejecución, se observó, 2 archivos Excel denominados ALERTAS VENCIMIENTOS SEVEN para febrero y marzo, no obstante no se observó evidencia que la Subdirección de Contratación realizó el envío por correo electrónico del tablero de control que se envía automáticamente por la plataforma SEVEN a los supervisores. De igual manera de acuerdo a la actividad establecida se debería contar con los envíos de los meses de enero, febrero y marzo, </t>
    </r>
    <r>
      <rPr>
        <b/>
        <sz val="10"/>
        <color theme="1"/>
        <rFont val="Arial"/>
        <family val="2"/>
      </rPr>
      <t>por lo tanto se recomienda dar cumplimiento a la actividad definida trimestralmente.</t>
    </r>
  </si>
  <si>
    <t>Durante el último trimestre del 2025 se realizó el envío de la Base de Alertas Tempranas, a través del correo electrónico a las diferentes áreas de la entidad, donde se les informa cuales son las liquidaciones radicadas, el estado de cada liquidación y el histórico de los procesos informados anteriormente, para que puedan realizar las observaciones de cada proceso.
Como evidencia se anexa la base de alertas de liquidaciones de los meses de octubre, noviembre y diciembre.</t>
  </si>
  <si>
    <t>Durante el último trimestre del 2025 se documentó por medio de la base de liquidaciones los procesos radicados y se realiza la priorización de los trámites próximos a perder competencia.
Como evidencia se anexan la base de datos correspondientes a los meses de octubre, noviembre y diciembre, con corte al último día hábil de cada mes.</t>
  </si>
  <si>
    <t>Desde la Subdirección de Diseño, Evaluación y Sistematización, a través del equipo de diseño y monitoreo se realizó el seguimiento a los 13 proyectos de inversión del Plan Distrital de Desarrollo Bogotá Camina Segura, en su implementación emitiendo las cartas de alerta con los cortes de septiembre, octubre y noviembre de 2025.
El resultado de este seguimiento son las cartas de recomendaciones y alertas para los gerentes de cada proyecto de inversión, con el fin de superar retrasos y mantener buenas prácticas dentro de los proyectos.</t>
  </si>
  <si>
    <t>Para el cuarto trimestre de la vigencia 2025, la Subdirección de Contratación realizó el envío por correo electrónico del tablero de control de las alertas generadas automáticamente por la plataforma SEVEN a los supervisores. 
Estas alertas se generan mes a mes por medio de la plataforma Seven, se anexa la muestra de las alertas enviadas de los meses octubre, noviembre y diciembre.
La alerta del mes de enero de la vigencia 2025, no se generó debido a una falla de la plataforma Seven.</t>
  </si>
  <si>
    <t>15/01/2026 No se generan observaciones respecto a los avances y evidencias presentados en el monitoreo de riesgos de gestión.</t>
  </si>
  <si>
    <t>15/01/2026 Se recomienda para la vigencia 2026 revisar si en enero hay posibilidad de tener acceso a la plataforma con eso revisar si es pertinente generar alertas en enero para no quedar en rezago el cumplimiento de la meta del riesgo.
No se generan observaciones respecto a los avances y evidencias presentados en el monitoreo de riesgos de gestión.</t>
  </si>
  <si>
    <t>Desde la Subdirección de Contratación, se realizó el 6 de octubre de 2025, la socialización de Recomendaciones y Lineamientos para la Contratación de Prestación de Servicios Profesionales de Apoyo a la Gestión, 
Como evidencia, se anexan los documentos relacionados, grabación y presentación de la socialización realizada.</t>
  </si>
  <si>
    <t>En lo corrido del cuarto trimestre de la vigencia 2025, no se realizaron actualizaciones a los documentos del proceso de Gestión Contractual.</t>
  </si>
  <si>
    <t>Desde la Subdirección de Contratación, a lo largo de la vigencia 2025, se realizó socialización de memorandos con asunto: Recomendaciones buenas prácticas para la publicación y aprobación de los informes de ejecución y supervisión de contratos y convenios en la plataforma SECOP II. Generados en las fechas 7 de octubre de 2025 - I2025034305 y el
15 de diciembre de 2025 - I2025043640.
Se anexan los documentos en mención, como soporte.</t>
  </si>
  <si>
    <t>Aunque en el primer trimestre se dio cumplimiento a la meta establecida de realizar 2 socializaciones, la Subdirección de Contratación, realizó el 6 de octubre de 2025, la socialización de Recomendaciones y Lineamientos para la Contratación de Prestación de Servicios Profesionales de Apoyo a la Gestión.
Como evidencia, se anexan los documentos relacionados, grabación y presentación de la socialización realizada.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</si>
</sst>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i/>
      <sz val="10"/>
      <color theme="4"/>
      <name val="Arial"/>
      <family val="2"/>
    </font>
    <font>
      <sz val="10"/>
      <color theme="0"/>
      <name val="Arial"/>
      <family val="2"/>
    </font>
    <font>
      <b/>
      <sz val="10"/>
      <color theme="0"/>
      <name val="Arial"/>
      <family val="2"/>
    </font>
    <font>
      <sz val="9"/>
      <name val="Arial"/>
      <family val="2"/>
    </font>
    <font>
      <b/>
      <sz val="11"/>
      <color theme="1"/>
      <name val="Calibri"/>
      <family val="2"/>
      <scheme val="minor"/>
    </font>
    <font>
      <sz val="10"/>
      <color theme="1"/>
      <name val="Arial"/>
      <family val="2"/>
    </font>
    <font>
      <b/>
      <sz val="11"/>
      <color theme="4" tint="-0.249977111117893"/>
      <name val="Arial"/>
      <family val="2"/>
    </font>
    <font>
      <i/>
      <sz val="11"/>
      <color theme="4" tint="-0.249977111117893"/>
      <name val="Arial"/>
      <family val="2"/>
    </font>
    <font>
      <b/>
      <sz val="11"/>
      <color theme="1"/>
      <name val="Arial"/>
      <family val="2"/>
    </font>
    <font>
      <b/>
      <sz val="10"/>
      <color theme="1"/>
      <name val="Arial"/>
      <family val="2"/>
    </font>
    <font>
      <i/>
      <sz val="10"/>
      <color theme="4" tint="-0.249977111117893"/>
      <name val="Arial"/>
      <family val="2"/>
    </font>
    <font>
      <sz val="11"/>
      <color theme="1"/>
      <name val="Arial"/>
      <family val="2"/>
    </font>
    <font>
      <sz val="10"/>
      <color theme="4" tint="-0.249977111117893"/>
      <name val="Arial"/>
      <family val="2"/>
    </font>
    <font>
      <sz val="12"/>
      <name val="Arial"/>
      <family val="2"/>
    </font>
    <font>
      <sz val="10"/>
      <color theme="0" tint="-0.499984740745262"/>
      <name val="Arial"/>
      <family val="2"/>
    </font>
    <font>
      <sz val="8"/>
      <color theme="0" tint="-0.499984740745262"/>
      <name val="Arial"/>
      <family val="2"/>
    </font>
    <font>
      <b/>
      <sz val="10"/>
      <color theme="4" tint="-0.249977111117893"/>
      <name val="Arial"/>
      <family val="2"/>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FF"/>
        <bgColor rgb="FF000000"/>
      </patternFill>
    </fill>
  </fills>
  <borders count="3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diagonal/>
    </border>
    <border>
      <left style="dashed">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diagonal/>
    </border>
    <border>
      <left style="thin">
        <color indexed="64"/>
      </left>
      <right style="dashed">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diagonal/>
    </border>
  </borders>
  <cellStyleXfs count="6">
    <xf numFmtId="0" fontId="0"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1" fillId="0" borderId="0"/>
  </cellStyleXfs>
  <cellXfs count="278">
    <xf numFmtId="0" fontId="0" fillId="0" borderId="0" xfId="0"/>
    <xf numFmtId="0" fontId="4" fillId="2" borderId="2" xfId="0" applyFont="1" applyFill="1" applyBorder="1" applyAlignment="1" applyProtection="1">
      <alignment horizontal="center" vertical="center" wrapText="1"/>
      <protection locked="0"/>
    </xf>
    <xf numFmtId="0" fontId="4" fillId="0" borderId="0" xfId="0" applyFont="1"/>
    <xf numFmtId="0" fontId="4" fillId="0" borderId="0" xfId="0" applyFont="1" applyAlignment="1">
      <alignment vertical="center"/>
    </xf>
    <xf numFmtId="0" fontId="4" fillId="2" borderId="0" xfId="0" applyFont="1" applyFill="1" applyAlignment="1">
      <alignment vertical="center"/>
    </xf>
    <xf numFmtId="0" fontId="4" fillId="3" borderId="2" xfId="0" applyFont="1" applyFill="1" applyBorder="1" applyAlignment="1">
      <alignment vertical="center" wrapText="1"/>
    </xf>
    <xf numFmtId="0" fontId="0" fillId="3" borderId="2" xfId="0" applyFill="1" applyBorder="1" applyAlignment="1">
      <alignment horizontal="center" vertical="center"/>
    </xf>
    <xf numFmtId="0" fontId="0" fillId="0" borderId="2" xfId="0" applyBorder="1" applyAlignment="1">
      <alignment vertical="center"/>
    </xf>
    <xf numFmtId="0" fontId="4" fillId="8" borderId="2" xfId="0" applyFont="1" applyFill="1" applyBorder="1" applyAlignment="1" applyProtection="1">
      <alignment horizontal="center" vertical="center" wrapText="1"/>
      <protection locked="0"/>
    </xf>
    <xf numFmtId="0" fontId="6" fillId="2" borderId="0" xfId="0" applyFont="1" applyFill="1" applyProtection="1">
      <protection locked="0"/>
    </xf>
    <xf numFmtId="0" fontId="0" fillId="0" borderId="0" xfId="0" applyProtection="1">
      <protection locked="0"/>
    </xf>
    <xf numFmtId="0" fontId="6" fillId="2" borderId="0" xfId="0" applyFont="1" applyFill="1" applyAlignment="1" applyProtection="1">
      <alignment vertical="center"/>
      <protection locked="0"/>
    </xf>
    <xf numFmtId="0" fontId="4" fillId="2" borderId="0" xfId="0" applyFont="1" applyFill="1" applyProtection="1">
      <protection locked="0"/>
    </xf>
    <xf numFmtId="0" fontId="4" fillId="11" borderId="2"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top"/>
      <protection locked="0"/>
    </xf>
    <xf numFmtId="0" fontId="3" fillId="0" borderId="0" xfId="0" applyFont="1"/>
    <xf numFmtId="0" fontId="4" fillId="3" borderId="0" xfId="0" applyFont="1" applyFill="1" applyAlignment="1">
      <alignment horizontal="center" vertical="center" wrapText="1"/>
    </xf>
    <xf numFmtId="0" fontId="0" fillId="8" borderId="0" xfId="0" applyFill="1"/>
    <xf numFmtId="0" fontId="4" fillId="8" borderId="3" xfId="0" applyFont="1" applyFill="1" applyBorder="1"/>
    <xf numFmtId="0" fontId="4" fillId="0" borderId="2" xfId="0" applyFont="1" applyBorder="1" applyAlignment="1" applyProtection="1">
      <alignment horizontal="center" vertical="center" wrapText="1"/>
      <protection locked="0"/>
    </xf>
    <xf numFmtId="0" fontId="3" fillId="3" borderId="2" xfId="0" applyFont="1" applyFill="1" applyBorder="1" applyAlignment="1">
      <alignment vertical="center" wrapText="1"/>
    </xf>
    <xf numFmtId="0" fontId="3" fillId="2" borderId="1" xfId="0" applyFont="1" applyFill="1" applyBorder="1" applyAlignment="1" applyProtection="1">
      <alignment vertical="center" wrapText="1"/>
      <protection locked="0"/>
    </xf>
    <xf numFmtId="0" fontId="0" fillId="8" borderId="0" xfId="0" applyFill="1" applyProtection="1">
      <protection locked="0"/>
    </xf>
    <xf numFmtId="0" fontId="3" fillId="3" borderId="2" xfId="0" applyFont="1" applyFill="1" applyBorder="1" applyAlignment="1">
      <alignment vertical="center"/>
    </xf>
    <xf numFmtId="9" fontId="0" fillId="3" borderId="2" xfId="0" applyNumberFormat="1" applyFill="1" applyBorder="1" applyAlignment="1">
      <alignment horizontal="center" vertical="center"/>
    </xf>
    <xf numFmtId="0" fontId="3" fillId="0" borderId="2" xfId="0" applyFont="1" applyBorder="1" applyAlignment="1">
      <alignment vertical="center"/>
    </xf>
    <xf numFmtId="0" fontId="3" fillId="7" borderId="2" xfId="0" applyFont="1" applyFill="1" applyBorder="1" applyAlignment="1">
      <alignment horizontal="center" vertical="center"/>
    </xf>
    <xf numFmtId="0" fontId="3" fillId="3" borderId="1" xfId="0" applyFont="1" applyFill="1" applyBorder="1" applyAlignment="1" applyProtection="1">
      <alignment vertical="center" wrapText="1"/>
      <protection locked="0"/>
    </xf>
    <xf numFmtId="0" fontId="8" fillId="8" borderId="0" xfId="0" applyFont="1" applyFill="1" applyAlignment="1">
      <alignment horizontal="center" vertical="center"/>
    </xf>
    <xf numFmtId="0" fontId="9" fillId="8" borderId="0" xfId="0" applyFont="1" applyFill="1" applyAlignment="1">
      <alignment horizontal="center" vertical="center"/>
    </xf>
    <xf numFmtId="0" fontId="8" fillId="8" borderId="0" xfId="0" applyFont="1" applyFill="1" applyAlignment="1">
      <alignment horizontal="center"/>
    </xf>
    <xf numFmtId="0" fontId="8" fillId="8" borderId="0" xfId="0" applyFont="1" applyFill="1"/>
    <xf numFmtId="0" fontId="4" fillId="8" borderId="0" xfId="0" applyFont="1" applyFill="1"/>
    <xf numFmtId="0" fontId="9" fillId="8" borderId="0" xfId="0" applyFont="1" applyFill="1" applyAlignment="1">
      <alignment vertical="center" wrapText="1"/>
    </xf>
    <xf numFmtId="0" fontId="8" fillId="8" borderId="0" xfId="0" applyFont="1" applyFill="1" applyAlignment="1" applyProtection="1">
      <alignment vertical="center" wrapText="1"/>
      <protection locked="0"/>
    </xf>
    <xf numFmtId="0" fontId="8" fillId="8" borderId="0" xfId="0" applyFont="1" applyFill="1" applyAlignment="1">
      <alignment vertical="center"/>
    </xf>
    <xf numFmtId="0" fontId="10" fillId="2" borderId="2" xfId="0" applyFont="1" applyFill="1" applyBorder="1" applyAlignment="1">
      <alignment vertical="center"/>
    </xf>
    <xf numFmtId="0" fontId="10" fillId="2" borderId="2"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wrapText="1"/>
      <protection locked="0"/>
    </xf>
    <xf numFmtId="0" fontId="10" fillId="2" borderId="2" xfId="0" applyFont="1" applyFill="1" applyBorder="1" applyAlignment="1" applyProtection="1">
      <alignment vertical="center"/>
      <protection locked="0"/>
    </xf>
    <xf numFmtId="0" fontId="12" fillId="8" borderId="0" xfId="2" applyFont="1" applyFill="1" applyAlignment="1" applyProtection="1">
      <alignment wrapText="1"/>
      <protection locked="0"/>
    </xf>
    <xf numFmtId="0" fontId="3" fillId="8" borderId="0" xfId="2" applyFont="1" applyFill="1" applyAlignment="1" applyProtection="1">
      <alignment horizontal="left" wrapText="1"/>
      <protection locked="0"/>
    </xf>
    <xf numFmtId="0" fontId="3" fillId="8" borderId="0" xfId="2" applyFont="1" applyFill="1" applyAlignment="1" applyProtection="1">
      <alignment horizontal="center" wrapText="1"/>
      <protection locked="0"/>
    </xf>
    <xf numFmtId="0" fontId="3" fillId="8" borderId="0" xfId="2" applyFont="1" applyFill="1" applyAlignment="1" applyProtection="1">
      <alignment horizontal="center" vertical="center" wrapText="1"/>
      <protection locked="0"/>
    </xf>
    <xf numFmtId="0" fontId="12" fillId="8" borderId="0" xfId="2" applyFont="1" applyFill="1" applyAlignment="1" applyProtection="1">
      <alignment horizontal="center" wrapText="1"/>
      <protection locked="0"/>
    </xf>
    <xf numFmtId="0" fontId="3" fillId="0" borderId="0" xfId="2" applyFont="1" applyAlignment="1" applyProtection="1">
      <alignment horizontal="center" vertical="center" wrapText="1"/>
      <protection locked="0"/>
    </xf>
    <xf numFmtId="0" fontId="4" fillId="8" borderId="0" xfId="2" applyFont="1" applyFill="1" applyAlignment="1" applyProtection="1">
      <alignment horizontal="center" vertical="center" wrapText="1"/>
      <protection locked="0"/>
    </xf>
    <xf numFmtId="0" fontId="13" fillId="8" borderId="0" xfId="2" applyFont="1" applyFill="1" applyAlignment="1" applyProtection="1">
      <alignment horizontal="center" vertical="center" wrapText="1"/>
      <protection locked="0"/>
    </xf>
    <xf numFmtId="0" fontId="13" fillId="8" borderId="2" xfId="2" applyFont="1" applyFill="1" applyBorder="1" applyAlignment="1" applyProtection="1">
      <alignment horizontal="center" vertical="center" wrapText="1"/>
      <protection locked="0"/>
    </xf>
    <xf numFmtId="9" fontId="3" fillId="8" borderId="16" xfId="2" applyNumberFormat="1" applyFont="1" applyFill="1" applyBorder="1" applyAlignment="1" applyProtection="1">
      <alignment horizontal="center" vertical="center" wrapText="1"/>
      <protection hidden="1"/>
    </xf>
    <xf numFmtId="0" fontId="3" fillId="8" borderId="16" xfId="2" applyFont="1" applyFill="1" applyBorder="1" applyAlignment="1" applyProtection="1">
      <alignment horizontal="center" vertical="center" wrapText="1"/>
      <protection locked="0"/>
    </xf>
    <xf numFmtId="9" fontId="3" fillId="8" borderId="16" xfId="3" applyFont="1" applyFill="1" applyBorder="1" applyAlignment="1" applyProtection="1">
      <alignment horizontal="center" vertical="center" wrapText="1"/>
      <protection hidden="1"/>
    </xf>
    <xf numFmtId="0" fontId="3" fillId="8" borderId="16" xfId="2" applyFont="1" applyFill="1" applyBorder="1" applyAlignment="1" applyProtection="1">
      <alignment vertical="center" wrapText="1"/>
      <protection locked="0"/>
    </xf>
    <xf numFmtId="9" fontId="3" fillId="8" borderId="20" xfId="2" applyNumberFormat="1" applyFont="1" applyFill="1" applyBorder="1" applyAlignment="1" applyProtection="1">
      <alignment horizontal="center" vertical="center" wrapText="1"/>
      <protection hidden="1"/>
    </xf>
    <xf numFmtId="0" fontId="3" fillId="8" borderId="20" xfId="2" applyFont="1" applyFill="1" applyBorder="1" applyAlignment="1" applyProtection="1">
      <alignment horizontal="center" vertical="center" wrapText="1"/>
      <protection locked="0"/>
    </xf>
    <xf numFmtId="9" fontId="3" fillId="8" borderId="20" xfId="3" applyFont="1" applyFill="1" applyBorder="1" applyAlignment="1" applyProtection="1">
      <alignment horizontal="center" vertical="center" wrapText="1"/>
      <protection hidden="1"/>
    </xf>
    <xf numFmtId="0" fontId="3" fillId="8" borderId="20" xfId="2" applyFont="1" applyFill="1" applyBorder="1" applyAlignment="1" applyProtection="1">
      <alignment vertical="center" wrapText="1"/>
      <protection locked="0"/>
    </xf>
    <xf numFmtId="9" fontId="3" fillId="8" borderId="23" xfId="2" applyNumberFormat="1" applyFont="1" applyFill="1" applyBorder="1" applyAlignment="1" applyProtection="1">
      <alignment horizontal="center" vertical="center" wrapText="1"/>
      <protection hidden="1"/>
    </xf>
    <xf numFmtId="0" fontId="3" fillId="8" borderId="23" xfId="2" applyFont="1" applyFill="1" applyBorder="1" applyAlignment="1" applyProtection="1">
      <alignment horizontal="center" vertical="center" wrapText="1"/>
      <protection locked="0"/>
    </xf>
    <xf numFmtId="9" fontId="3" fillId="8" borderId="23" xfId="3" applyFont="1" applyFill="1" applyBorder="1" applyAlignment="1" applyProtection="1">
      <alignment horizontal="center" vertical="center" wrapText="1"/>
      <protection hidden="1"/>
    </xf>
    <xf numFmtId="0" fontId="3" fillId="8" borderId="23" xfId="2" applyFont="1" applyFill="1" applyBorder="1" applyAlignment="1" applyProtection="1">
      <alignment vertical="center" wrapText="1"/>
      <protection locked="0"/>
    </xf>
    <xf numFmtId="0" fontId="14" fillId="8" borderId="0" xfId="2" applyFont="1" applyFill="1" applyAlignment="1" applyProtection="1">
      <alignment horizontal="center" vertical="center" wrapText="1"/>
      <protection locked="0"/>
    </xf>
    <xf numFmtId="0" fontId="14" fillId="8" borderId="2" xfId="2" applyFont="1" applyFill="1" applyBorder="1" applyAlignment="1" applyProtection="1">
      <alignment horizontal="center" vertical="center" wrapText="1"/>
      <protection locked="0"/>
    </xf>
    <xf numFmtId="9" fontId="3" fillId="8" borderId="26" xfId="2" applyNumberFormat="1" applyFont="1" applyFill="1" applyBorder="1" applyAlignment="1" applyProtection="1">
      <alignment horizontal="center" vertical="center" wrapText="1"/>
      <protection hidden="1"/>
    </xf>
    <xf numFmtId="0" fontId="3" fillId="8" borderId="26" xfId="2" applyFont="1" applyFill="1" applyBorder="1" applyAlignment="1" applyProtection="1">
      <alignment horizontal="center" vertical="center" wrapText="1"/>
      <protection locked="0"/>
    </xf>
    <xf numFmtId="9" fontId="3" fillId="8" borderId="26" xfId="3" applyFont="1" applyFill="1" applyBorder="1" applyAlignment="1" applyProtection="1">
      <alignment horizontal="center" vertical="center" wrapText="1"/>
      <protection hidden="1"/>
    </xf>
    <xf numFmtId="0" fontId="3" fillId="8" borderId="26" xfId="2" applyFont="1" applyFill="1" applyBorder="1" applyAlignment="1" applyProtection="1">
      <alignment vertical="center" wrapText="1"/>
      <protection locked="0"/>
    </xf>
    <xf numFmtId="0" fontId="12" fillId="8" borderId="2" xfId="2" applyFont="1" applyFill="1" applyBorder="1" applyAlignment="1" applyProtection="1">
      <alignment wrapText="1"/>
      <protection locked="0"/>
    </xf>
    <xf numFmtId="0" fontId="15" fillId="8" borderId="0" xfId="2" applyFont="1" applyFill="1" applyAlignment="1" applyProtection="1">
      <alignment horizontal="center" vertical="center" wrapText="1"/>
      <protection locked="0"/>
    </xf>
    <xf numFmtId="0" fontId="15" fillId="8" borderId="2" xfId="2" applyFont="1" applyFill="1" applyBorder="1" applyAlignment="1" applyProtection="1">
      <alignment horizontal="center" vertical="center" wrapText="1"/>
      <protection locked="0"/>
    </xf>
    <xf numFmtId="0" fontId="3" fillId="11" borderId="2" xfId="2" applyFont="1" applyFill="1" applyBorder="1" applyAlignment="1" applyProtection="1">
      <alignment horizontal="center" vertical="center" wrapText="1"/>
      <protection locked="0"/>
    </xf>
    <xf numFmtId="0" fontId="3" fillId="11" borderId="2" xfId="4" applyFill="1" applyBorder="1" applyAlignment="1" applyProtection="1">
      <alignment horizontal="center" vertical="center" wrapText="1"/>
      <protection locked="0"/>
    </xf>
    <xf numFmtId="0" fontId="17" fillId="8" borderId="0" xfId="2" applyFont="1" applyFill="1" applyAlignment="1" applyProtection="1">
      <alignment horizontal="left" vertical="center"/>
      <protection locked="0"/>
    </xf>
    <xf numFmtId="0" fontId="16" fillId="8" borderId="0" xfId="2" applyFont="1" applyFill="1" applyAlignment="1" applyProtection="1">
      <alignment horizontal="left" wrapText="1"/>
      <protection locked="0"/>
    </xf>
    <xf numFmtId="0" fontId="3" fillId="8" borderId="0" xfId="2" applyFont="1" applyFill="1" applyAlignment="1" applyProtection="1">
      <alignment horizontal="right" vertical="center" wrapText="1"/>
      <protection locked="0"/>
    </xf>
    <xf numFmtId="0" fontId="2" fillId="8" borderId="0" xfId="2" applyFill="1" applyProtection="1">
      <protection locked="0"/>
    </xf>
    <xf numFmtId="0" fontId="19" fillId="8" borderId="0" xfId="2" applyFont="1" applyFill="1" applyAlignment="1" applyProtection="1">
      <alignment horizontal="center" wrapText="1"/>
      <protection locked="0"/>
    </xf>
    <xf numFmtId="0" fontId="3" fillId="8" borderId="0" xfId="2" applyFont="1" applyFill="1" applyAlignment="1" applyProtection="1">
      <alignment vertical="center" wrapText="1"/>
      <protection locked="0"/>
    </xf>
    <xf numFmtId="0" fontId="19" fillId="8" borderId="0" xfId="2" applyFont="1" applyFill="1" applyAlignment="1" applyProtection="1">
      <alignment horizontal="left" vertical="center"/>
      <protection locked="0"/>
    </xf>
    <xf numFmtId="0" fontId="4" fillId="8" borderId="0" xfId="2" applyFont="1" applyFill="1" applyAlignment="1" applyProtection="1">
      <alignment vertical="center" wrapText="1"/>
      <protection locked="0"/>
    </xf>
    <xf numFmtId="0" fontId="10" fillId="8" borderId="2" xfId="2" applyFont="1" applyFill="1" applyBorder="1" applyAlignment="1" applyProtection="1">
      <alignment horizontal="left" vertical="center" wrapText="1"/>
      <protection locked="0"/>
    </xf>
    <xf numFmtId="0" fontId="2" fillId="0" borderId="0" xfId="2"/>
    <xf numFmtId="9" fontId="0" fillId="0" borderId="0" xfId="3" applyFont="1"/>
    <xf numFmtId="0" fontId="2" fillId="0" borderId="0" xfId="2" applyAlignment="1">
      <alignment horizontal="center" vertical="center"/>
    </xf>
    <xf numFmtId="9" fontId="2" fillId="0" borderId="0" xfId="2" applyNumberFormat="1"/>
    <xf numFmtId="0" fontId="21" fillId="2" borderId="0" xfId="0" applyFont="1" applyFill="1" applyAlignment="1" applyProtection="1">
      <alignment horizontal="center" vertical="top"/>
      <protection locked="0"/>
    </xf>
    <xf numFmtId="0" fontId="4" fillId="0" borderId="4" xfId="0" applyFont="1" applyBorder="1" applyAlignment="1" applyProtection="1">
      <alignment horizontal="center" vertical="center" wrapText="1"/>
      <protection locked="0"/>
    </xf>
    <xf numFmtId="0" fontId="3" fillId="3" borderId="2" xfId="0" applyFont="1" applyFill="1" applyBorder="1" applyAlignment="1">
      <alignment horizontal="center" vertical="center"/>
    </xf>
    <xf numFmtId="0" fontId="7" fillId="2" borderId="0" xfId="0" applyFont="1" applyFill="1" applyAlignment="1" applyProtection="1">
      <alignment horizontal="left" vertical="top"/>
      <protection locked="0"/>
    </xf>
    <xf numFmtId="0" fontId="22" fillId="2" borderId="0" xfId="0" applyFont="1" applyFill="1" applyAlignment="1" applyProtection="1">
      <alignment horizontal="right" vertical="top"/>
      <protection locked="0"/>
    </xf>
    <xf numFmtId="0" fontId="3" fillId="0" borderId="1" xfId="0" applyFont="1" applyBorder="1" applyAlignment="1">
      <alignment vertical="center" wrapText="1"/>
    </xf>
    <xf numFmtId="0" fontId="3" fillId="13" borderId="1" xfId="0" applyFont="1" applyFill="1" applyBorder="1" applyAlignment="1">
      <alignment vertical="center" wrapText="1"/>
    </xf>
    <xf numFmtId="0" fontId="3" fillId="8" borderId="0" xfId="0" applyFont="1" applyFill="1" applyProtection="1">
      <protection locked="0"/>
    </xf>
    <xf numFmtId="0" fontId="3" fillId="2" borderId="0" xfId="0" applyFont="1" applyFill="1" applyProtection="1">
      <protection locked="0"/>
    </xf>
    <xf numFmtId="0" fontId="3" fillId="8"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3" fillId="2" borderId="1" xfId="0" applyFont="1" applyFill="1" applyBorder="1" applyAlignment="1">
      <alignment vertical="center" wrapText="1"/>
    </xf>
    <xf numFmtId="0" fontId="3" fillId="12" borderId="2" xfId="0" applyFont="1" applyFill="1" applyBorder="1" applyAlignment="1">
      <alignment horizontal="center" vertical="center"/>
    </xf>
    <xf numFmtId="0" fontId="3" fillId="2" borderId="1" xfId="0"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vertical="center" wrapText="1"/>
      <protection locked="0"/>
    </xf>
    <xf numFmtId="9" fontId="3" fillId="2" borderId="1" xfId="1" applyFont="1" applyFill="1" applyBorder="1" applyAlignment="1" applyProtection="1">
      <alignment vertical="center" wrapText="1"/>
      <protection locked="0"/>
    </xf>
    <xf numFmtId="0" fontId="3" fillId="0" borderId="1" xfId="0" applyFont="1" applyBorder="1" applyAlignment="1" applyProtection="1">
      <alignment horizontal="center" vertical="center"/>
      <protection locked="0"/>
    </xf>
    <xf numFmtId="0" fontId="3" fillId="2" borderId="1" xfId="0" applyFont="1" applyFill="1" applyBorder="1" applyAlignment="1" applyProtection="1">
      <alignment vertical="center"/>
      <protection locked="0"/>
    </xf>
    <xf numFmtId="9" fontId="3" fillId="3" borderId="2" xfId="0" applyNumberFormat="1" applyFont="1" applyFill="1" applyBorder="1" applyAlignment="1">
      <alignment horizontal="center" vertical="center"/>
    </xf>
    <xf numFmtId="0" fontId="3" fillId="4" borderId="2" xfId="0" applyFont="1" applyFill="1" applyBorder="1" applyAlignment="1">
      <alignment horizontal="center" vertical="center"/>
    </xf>
    <xf numFmtId="0" fontId="3" fillId="5" borderId="2" xfId="0" applyFont="1" applyFill="1" applyBorder="1" applyAlignment="1">
      <alignment horizontal="center" vertical="center"/>
    </xf>
    <xf numFmtId="0" fontId="3" fillId="6" borderId="2" xfId="0" applyFont="1" applyFill="1" applyBorder="1" applyAlignment="1">
      <alignment horizontal="center" vertical="center"/>
    </xf>
    <xf numFmtId="9" fontId="3" fillId="13" borderId="2" xfId="0"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9" fontId="3" fillId="13" borderId="1"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12" fillId="2" borderId="1" xfId="0" applyFont="1" applyFill="1" applyBorder="1" applyAlignment="1" applyProtection="1">
      <alignment vertical="center" wrapText="1"/>
      <protection locked="0"/>
    </xf>
    <xf numFmtId="9" fontId="3" fillId="2" borderId="1" xfId="1" applyFont="1" applyFill="1" applyBorder="1" applyAlignment="1" applyProtection="1">
      <alignment horizontal="center" vertical="center" wrapText="1"/>
      <protection locked="0"/>
    </xf>
    <xf numFmtId="9" fontId="3" fillId="0" borderId="1" xfId="1" applyFont="1" applyFill="1" applyBorder="1" applyAlignment="1" applyProtection="1">
      <alignment horizontal="center" vertical="center" wrapText="1"/>
      <protection locked="0"/>
    </xf>
    <xf numFmtId="0" fontId="3" fillId="2" borderId="1" xfId="0" applyFont="1" applyFill="1" applyBorder="1" applyAlignment="1" applyProtection="1">
      <alignment horizontal="justify" vertical="center" wrapText="1"/>
      <protection locked="0"/>
    </xf>
    <xf numFmtId="0" fontId="3" fillId="13" borderId="1" xfId="0" applyFont="1" applyFill="1" applyBorder="1" applyAlignment="1">
      <alignment horizontal="justify" vertical="center" wrapText="1"/>
    </xf>
    <xf numFmtId="0" fontId="3" fillId="8" borderId="2" xfId="5" applyFont="1" applyFill="1" applyBorder="1" applyAlignment="1" applyProtection="1">
      <alignment horizontal="justify" vertical="center" wrapText="1"/>
      <protection locked="0"/>
    </xf>
    <xf numFmtId="0" fontId="17" fillId="8" borderId="2" xfId="2" applyFont="1" applyFill="1" applyBorder="1" applyAlignment="1" applyProtection="1">
      <alignment horizontal="center" vertical="center" wrapText="1"/>
      <protection locked="0"/>
    </xf>
    <xf numFmtId="0" fontId="23" fillId="8" borderId="2" xfId="2" applyFont="1" applyFill="1" applyBorder="1" applyAlignment="1" applyProtection="1">
      <alignment horizontal="center" vertical="center" wrapText="1"/>
      <protection locked="0"/>
    </xf>
    <xf numFmtId="0" fontId="16" fillId="8" borderId="2" xfId="2" applyFont="1" applyFill="1" applyBorder="1" applyAlignment="1" applyProtection="1">
      <alignment horizontal="center" vertical="center" wrapText="1"/>
      <protection locked="0"/>
    </xf>
    <xf numFmtId="9" fontId="3" fillId="13" borderId="11" xfId="0" applyNumberFormat="1" applyFont="1" applyFill="1" applyBorder="1" applyAlignment="1">
      <alignment horizontal="center" vertical="center" wrapText="1"/>
    </xf>
    <xf numFmtId="0" fontId="3" fillId="13" borderId="11" xfId="0" applyFont="1" applyFill="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14" fillId="8" borderId="2" xfId="2" applyFont="1" applyFill="1" applyBorder="1" applyAlignment="1" applyProtection="1">
      <alignment horizontal="justify" vertical="center" wrapText="1"/>
      <protection locked="0"/>
    </xf>
    <xf numFmtId="0" fontId="13" fillId="8" borderId="2" xfId="2" applyFont="1" applyFill="1" applyBorder="1" applyAlignment="1" applyProtection="1">
      <alignment horizontal="justify" vertical="center" wrapText="1"/>
      <protection locked="0"/>
    </xf>
    <xf numFmtId="0" fontId="12" fillId="0" borderId="1" xfId="0" applyFont="1" applyBorder="1" applyAlignment="1" applyProtection="1">
      <alignment horizontal="justify" vertical="center" wrapText="1"/>
      <protection locked="0"/>
    </xf>
    <xf numFmtId="0" fontId="15" fillId="8" borderId="2" xfId="2" applyFont="1" applyFill="1" applyBorder="1" applyAlignment="1" applyProtection="1">
      <alignment horizontal="justify" vertical="center" wrapText="1"/>
      <protection locked="0"/>
    </xf>
    <xf numFmtId="0" fontId="12" fillId="8" borderId="2" xfId="2" applyFont="1" applyFill="1" applyBorder="1" applyAlignment="1" applyProtection="1">
      <alignment horizontal="justify" vertical="center" wrapText="1"/>
      <protection locked="0"/>
    </xf>
    <xf numFmtId="0" fontId="12" fillId="8" borderId="2" xfId="2" applyFont="1" applyFill="1" applyBorder="1" applyAlignment="1" applyProtection="1">
      <alignment horizontal="justify" wrapText="1"/>
      <protection locked="0"/>
    </xf>
    <xf numFmtId="14" fontId="3" fillId="2" borderId="1" xfId="1" applyNumberFormat="1" applyFont="1" applyFill="1" applyBorder="1" applyAlignment="1" applyProtection="1">
      <alignment horizontal="center" vertical="center" wrapText="1"/>
      <protection locked="0"/>
    </xf>
    <xf numFmtId="0" fontId="3" fillId="8" borderId="1" xfId="0" applyFont="1" applyFill="1" applyBorder="1" applyAlignment="1" applyProtection="1">
      <alignment horizontal="justify" vertical="center" wrapText="1"/>
      <protection locked="0"/>
    </xf>
    <xf numFmtId="0" fontId="3" fillId="8" borderId="1" xfId="0" applyFont="1" applyFill="1" applyBorder="1" applyAlignment="1">
      <alignment horizontal="justify" vertical="center" wrapText="1"/>
    </xf>
    <xf numFmtId="9" fontId="3" fillId="2" borderId="1" xfId="1" applyNumberFormat="1" applyFont="1" applyFill="1" applyBorder="1" applyAlignment="1" applyProtection="1">
      <alignment horizontal="center" vertical="center" wrapText="1"/>
      <protection locked="0"/>
    </xf>
    <xf numFmtId="9" fontId="3" fillId="0" borderId="1" xfId="1" applyNumberFormat="1"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12" borderId="4" xfId="0" applyFont="1" applyFill="1" applyBorder="1" applyAlignment="1">
      <alignment horizontal="center" vertical="center"/>
    </xf>
    <xf numFmtId="0" fontId="3" fillId="12" borderId="18" xfId="0" applyFont="1" applyFill="1" applyBorder="1" applyAlignment="1">
      <alignment horizontal="center" vertical="center"/>
    </xf>
    <xf numFmtId="0" fontId="3" fillId="12" borderId="1" xfId="0" applyFont="1" applyFill="1" applyBorder="1" applyAlignment="1">
      <alignment horizontal="center" vertical="center"/>
    </xf>
    <xf numFmtId="0" fontId="3" fillId="0" borderId="4"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12" borderId="36" xfId="0" applyFont="1" applyFill="1" applyBorder="1" applyAlignment="1">
      <alignment horizontal="center" vertical="center"/>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8" borderId="2"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0"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3" fillId="12" borderId="32" xfId="0" applyFont="1" applyFill="1" applyBorder="1" applyAlignment="1">
      <alignment horizontal="center" vertical="center"/>
    </xf>
    <xf numFmtId="0" fontId="3" fillId="12" borderId="33" xfId="0" applyFont="1" applyFill="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2" borderId="2" xfId="0" applyFont="1" applyFill="1" applyBorder="1" applyAlignment="1" applyProtection="1">
      <alignment horizontal="center"/>
      <protection locked="0"/>
    </xf>
    <xf numFmtId="0" fontId="4" fillId="0" borderId="2"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2" borderId="0" xfId="0" applyFont="1" applyFill="1" applyAlignment="1" applyProtection="1">
      <alignment horizontal="center" vertical="top"/>
      <protection locked="0"/>
    </xf>
    <xf numFmtId="0" fontId="4" fillId="10" borderId="5" xfId="0" applyFont="1" applyFill="1" applyBorder="1" applyAlignment="1" applyProtection="1">
      <alignment horizontal="center" vertical="center"/>
      <protection locked="0"/>
    </xf>
    <xf numFmtId="0" fontId="4" fillId="10" borderId="6" xfId="0" applyFont="1" applyFill="1" applyBorder="1" applyAlignment="1" applyProtection="1">
      <alignment horizontal="center" vertical="center"/>
      <protection locked="0"/>
    </xf>
    <xf numFmtId="0" fontId="4" fillId="10" borderId="7" xfId="0" applyFont="1" applyFill="1" applyBorder="1" applyAlignment="1" applyProtection="1">
      <alignment horizontal="center" vertical="center"/>
      <protection locked="0"/>
    </xf>
    <xf numFmtId="0" fontId="4" fillId="2" borderId="0" xfId="0" applyFont="1" applyFill="1" applyAlignment="1" applyProtection="1">
      <alignment horizontal="right" vertical="top"/>
      <protection locked="0"/>
    </xf>
    <xf numFmtId="0" fontId="4" fillId="9" borderId="5"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4" fillId="9" borderId="7"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2" borderId="18" xfId="0" applyFont="1" applyFill="1" applyBorder="1" applyAlignment="1">
      <alignment horizontal="center" vertical="center" wrapText="1"/>
    </xf>
    <xf numFmtId="0" fontId="3" fillId="8" borderId="8" xfId="2" applyFont="1" applyFill="1" applyBorder="1" applyAlignment="1" applyProtection="1">
      <alignment horizontal="right" vertical="center" wrapText="1"/>
      <protection locked="0"/>
    </xf>
    <xf numFmtId="0" fontId="3" fillId="8" borderId="0" xfId="2" applyFont="1" applyFill="1" applyAlignment="1" applyProtection="1">
      <alignment horizontal="right" vertical="center" wrapText="1"/>
      <protection locked="0"/>
    </xf>
    <xf numFmtId="0" fontId="3" fillId="8" borderId="9" xfId="2" applyFont="1" applyFill="1" applyBorder="1" applyAlignment="1" applyProtection="1">
      <alignment horizontal="right" vertical="center" wrapText="1"/>
      <protection locked="0"/>
    </xf>
    <xf numFmtId="0" fontId="3" fillId="8" borderId="5" xfId="2" applyFont="1" applyFill="1" applyBorder="1" applyAlignment="1" applyProtection="1">
      <alignment horizontal="center" vertical="center" wrapText="1"/>
      <protection locked="0"/>
    </xf>
    <xf numFmtId="0" fontId="3" fillId="8" borderId="6" xfId="2" applyFont="1" applyFill="1" applyBorder="1" applyAlignment="1" applyProtection="1">
      <alignment horizontal="center" vertical="center" wrapText="1"/>
      <protection locked="0"/>
    </xf>
    <xf numFmtId="0" fontId="3" fillId="8" borderId="7" xfId="2" applyFont="1" applyFill="1" applyBorder="1" applyAlignment="1" applyProtection="1">
      <alignment horizontal="center" vertical="center" wrapText="1"/>
      <protection locked="0"/>
    </xf>
    <xf numFmtId="0" fontId="3" fillId="8" borderId="4" xfId="2" applyFont="1" applyFill="1" applyBorder="1" applyAlignment="1" applyProtection="1">
      <alignment horizontal="center" vertical="center" wrapText="1"/>
      <protection locked="0"/>
    </xf>
    <xf numFmtId="0" fontId="3" fillId="8" borderId="18" xfId="2" applyFont="1" applyFill="1" applyBorder="1" applyAlignment="1" applyProtection="1">
      <alignment horizontal="center" vertical="center" wrapText="1"/>
      <protection locked="0"/>
    </xf>
    <xf numFmtId="0" fontId="3" fillId="8" borderId="1" xfId="2" applyFont="1" applyFill="1" applyBorder="1" applyAlignment="1" applyProtection="1">
      <alignment horizontal="center" vertical="center" wrapText="1"/>
      <protection locked="0"/>
    </xf>
    <xf numFmtId="9" fontId="3" fillId="8" borderId="4" xfId="3" applyFont="1" applyFill="1" applyBorder="1" applyAlignment="1" applyProtection="1">
      <alignment horizontal="center" vertical="center" wrapText="1"/>
      <protection hidden="1"/>
    </xf>
    <xf numFmtId="9" fontId="3" fillId="8" borderId="18" xfId="3" applyFont="1" applyFill="1" applyBorder="1" applyAlignment="1" applyProtection="1">
      <alignment horizontal="center" vertical="center" wrapText="1"/>
      <protection hidden="1"/>
    </xf>
    <xf numFmtId="9" fontId="3" fillId="8" borderId="1" xfId="3" applyFont="1" applyFill="1" applyBorder="1" applyAlignment="1" applyProtection="1">
      <alignment horizontal="center" vertical="center" wrapText="1"/>
      <protection hidden="1"/>
    </xf>
    <xf numFmtId="9" fontId="3" fillId="8" borderId="4" xfId="2" applyNumberFormat="1" applyFont="1" applyFill="1" applyBorder="1" applyAlignment="1" applyProtection="1">
      <alignment horizontal="center" vertical="center" wrapText="1"/>
      <protection hidden="1"/>
    </xf>
    <xf numFmtId="9" fontId="3" fillId="8" borderId="18" xfId="2" applyNumberFormat="1" applyFont="1" applyFill="1" applyBorder="1" applyAlignment="1" applyProtection="1">
      <alignment horizontal="center" vertical="center" wrapText="1"/>
      <protection hidden="1"/>
    </xf>
    <xf numFmtId="9" fontId="3" fillId="8" borderId="1" xfId="2" applyNumberFormat="1" applyFont="1" applyFill="1" applyBorder="1" applyAlignment="1" applyProtection="1">
      <alignment horizontal="center" vertical="center" wrapText="1"/>
      <protection hidden="1"/>
    </xf>
    <xf numFmtId="0" fontId="3" fillId="8" borderId="4" xfId="2" applyFont="1" applyFill="1" applyBorder="1" applyAlignment="1" applyProtection="1">
      <alignment horizontal="center" vertical="center" wrapText="1"/>
      <protection hidden="1"/>
    </xf>
    <xf numFmtId="0" fontId="3" fillId="8" borderId="18" xfId="2" applyFont="1" applyFill="1" applyBorder="1" applyAlignment="1" applyProtection="1">
      <alignment horizontal="center" vertical="center" wrapText="1"/>
      <protection hidden="1"/>
    </xf>
    <xf numFmtId="0" fontId="3" fillId="8" borderId="1" xfId="2" applyFont="1" applyFill="1" applyBorder="1" applyAlignment="1" applyProtection="1">
      <alignment horizontal="center" vertical="center" wrapText="1"/>
      <protection hidden="1"/>
    </xf>
    <xf numFmtId="0" fontId="3" fillId="11" borderId="2" xfId="2" applyFont="1" applyFill="1" applyBorder="1" applyAlignment="1" applyProtection="1">
      <alignment horizontal="center" vertical="center" wrapText="1"/>
      <protection locked="0"/>
    </xf>
    <xf numFmtId="0" fontId="3" fillId="8" borderId="28" xfId="2" applyFont="1" applyFill="1" applyBorder="1" applyAlignment="1" applyProtection="1">
      <alignment horizontal="left" vertical="center" wrapText="1"/>
      <protection locked="0"/>
    </xf>
    <xf numFmtId="0" fontId="3" fillId="8" borderId="29" xfId="2" applyFont="1" applyFill="1" applyBorder="1" applyAlignment="1" applyProtection="1">
      <alignment horizontal="left" vertical="center" wrapText="1"/>
      <protection locked="0"/>
    </xf>
    <xf numFmtId="9" fontId="3" fillId="8" borderId="19" xfId="2" applyNumberFormat="1" applyFont="1" applyFill="1" applyBorder="1" applyAlignment="1" applyProtection="1">
      <alignment horizontal="center" vertical="center" wrapText="1"/>
      <protection hidden="1"/>
    </xf>
    <xf numFmtId="9" fontId="3" fillId="8" borderId="15" xfId="2" applyNumberFormat="1" applyFont="1" applyFill="1" applyBorder="1" applyAlignment="1" applyProtection="1">
      <alignment horizontal="center" vertical="center" wrapText="1"/>
      <protection hidden="1"/>
    </xf>
    <xf numFmtId="0" fontId="3" fillId="11" borderId="5" xfId="2" applyFont="1" applyFill="1" applyBorder="1" applyAlignment="1" applyProtection="1">
      <alignment horizontal="center" vertical="center" wrapText="1"/>
      <protection locked="0"/>
    </xf>
    <xf numFmtId="0" fontId="3" fillId="11" borderId="6" xfId="2" applyFont="1" applyFill="1" applyBorder="1" applyAlignment="1" applyProtection="1">
      <alignment horizontal="center" vertical="center" wrapText="1"/>
      <protection locked="0"/>
    </xf>
    <xf numFmtId="0" fontId="3" fillId="11" borderId="7" xfId="2" applyFont="1" applyFill="1" applyBorder="1" applyAlignment="1" applyProtection="1">
      <alignment horizontal="center" vertical="center" wrapText="1"/>
      <protection locked="0"/>
    </xf>
    <xf numFmtId="0" fontId="3" fillId="3" borderId="4" xfId="2" applyFont="1" applyFill="1" applyBorder="1" applyAlignment="1" applyProtection="1">
      <alignment horizontal="center" vertical="center" wrapText="1"/>
      <protection locked="0"/>
    </xf>
    <xf numFmtId="0" fontId="3" fillId="3" borderId="1" xfId="2" applyFont="1" applyFill="1" applyBorder="1" applyAlignment="1" applyProtection="1">
      <alignment horizontal="center" vertical="center" wrapText="1"/>
      <protection locked="0"/>
    </xf>
    <xf numFmtId="9" fontId="3" fillId="8" borderId="22" xfId="2" applyNumberFormat="1" applyFont="1" applyFill="1" applyBorder="1" applyAlignment="1" applyProtection="1">
      <alignment horizontal="center" vertical="center" wrapText="1"/>
      <protection hidden="1"/>
    </xf>
    <xf numFmtId="0" fontId="3" fillId="3" borderId="2" xfId="2" applyFont="1" applyFill="1" applyBorder="1" applyAlignment="1" applyProtection="1">
      <alignment horizontal="center" vertical="center" wrapText="1"/>
      <protection locked="0"/>
    </xf>
    <xf numFmtId="0" fontId="3" fillId="8" borderId="21" xfId="2" applyFont="1" applyFill="1" applyBorder="1" applyAlignment="1" applyProtection="1">
      <alignment vertical="center" wrapText="1"/>
      <protection locked="0"/>
    </xf>
    <xf numFmtId="0" fontId="3" fillId="8" borderId="17" xfId="2" applyFont="1" applyFill="1" applyBorder="1" applyAlignment="1" applyProtection="1">
      <alignment vertical="center" wrapText="1"/>
      <protection locked="0"/>
    </xf>
    <xf numFmtId="14" fontId="3" fillId="8" borderId="2" xfId="2" applyNumberFormat="1" applyFont="1" applyFill="1" applyBorder="1" applyAlignment="1" applyProtection="1">
      <alignment horizontal="center" vertical="center" wrapText="1"/>
      <protection locked="0"/>
    </xf>
    <xf numFmtId="0" fontId="3" fillId="8" borderId="2" xfId="2" applyFont="1" applyFill="1" applyBorder="1" applyAlignment="1" applyProtection="1">
      <alignment horizontal="center" vertical="center" wrapText="1"/>
      <protection locked="0"/>
    </xf>
    <xf numFmtId="0" fontId="3" fillId="8" borderId="4" xfId="2" applyFont="1" applyFill="1" applyBorder="1" applyAlignment="1" applyProtection="1">
      <alignment horizontal="left" vertical="center" wrapText="1"/>
      <protection locked="0"/>
    </xf>
    <xf numFmtId="0" fontId="3" fillId="8" borderId="18" xfId="2" applyFont="1" applyFill="1" applyBorder="1" applyAlignment="1" applyProtection="1">
      <alignment horizontal="left" vertical="center" wrapText="1"/>
      <protection locked="0"/>
    </xf>
    <xf numFmtId="0" fontId="3" fillId="8" borderId="1" xfId="2" applyFont="1" applyFill="1" applyBorder="1" applyAlignment="1" applyProtection="1">
      <alignment horizontal="left" vertical="center" wrapText="1"/>
      <protection locked="0"/>
    </xf>
    <xf numFmtId="9" fontId="3" fillId="8" borderId="25" xfId="2" applyNumberFormat="1" applyFont="1" applyFill="1" applyBorder="1" applyAlignment="1" applyProtection="1">
      <alignment horizontal="center" vertical="center" wrapText="1"/>
      <protection hidden="1"/>
    </xf>
    <xf numFmtId="0" fontId="3" fillId="8" borderId="27" xfId="2" applyFont="1" applyFill="1" applyBorder="1" applyAlignment="1" applyProtection="1">
      <alignment vertical="center" wrapText="1"/>
      <protection locked="0"/>
    </xf>
    <xf numFmtId="0" fontId="3" fillId="8" borderId="24" xfId="2" applyFont="1" applyFill="1" applyBorder="1" applyAlignment="1" applyProtection="1">
      <alignment vertical="center" wrapText="1"/>
      <protection locked="0"/>
    </xf>
    <xf numFmtId="0" fontId="12" fillId="3" borderId="4" xfId="2" applyFont="1" applyFill="1" applyBorder="1" applyAlignment="1" applyProtection="1">
      <alignment horizontal="center" vertical="center" wrapText="1"/>
      <protection locked="0"/>
    </xf>
    <xf numFmtId="0" fontId="12" fillId="3" borderId="1" xfId="2" applyFont="1" applyFill="1" applyBorder="1" applyAlignment="1" applyProtection="1">
      <alignment horizontal="center" vertical="center" wrapText="1"/>
      <protection locked="0"/>
    </xf>
    <xf numFmtId="0" fontId="18" fillId="0" borderId="2" xfId="2" applyFont="1" applyBorder="1" applyAlignment="1" applyProtection="1">
      <alignment horizontal="left" vertical="center" wrapText="1"/>
      <protection locked="0"/>
    </xf>
    <xf numFmtId="0" fontId="3" fillId="8" borderId="3" xfId="2" applyFont="1" applyFill="1" applyBorder="1" applyAlignment="1" applyProtection="1">
      <alignment horizontal="right" vertical="center" wrapText="1"/>
      <protection locked="0"/>
    </xf>
    <xf numFmtId="0" fontId="12" fillId="9" borderId="2" xfId="2" applyFont="1" applyFill="1" applyBorder="1" applyAlignment="1" applyProtection="1">
      <alignment horizontal="center" vertical="center" wrapText="1"/>
      <protection locked="0"/>
    </xf>
    <xf numFmtId="0" fontId="16" fillId="0" borderId="2" xfId="2" applyFont="1" applyBorder="1" applyAlignment="1" applyProtection="1">
      <alignment horizontal="center" vertical="center" wrapText="1"/>
      <protection locked="0"/>
    </xf>
    <xf numFmtId="0" fontId="3" fillId="11" borderId="4" xfId="2" applyFont="1" applyFill="1" applyBorder="1" applyAlignment="1" applyProtection="1">
      <alignment horizontal="center" vertical="center" wrapText="1"/>
      <protection locked="0"/>
    </xf>
    <xf numFmtId="0" fontId="3" fillId="11" borderId="18" xfId="2" applyFont="1" applyFill="1" applyBorder="1" applyAlignment="1" applyProtection="1">
      <alignment horizontal="center" vertical="center" wrapText="1"/>
      <protection locked="0"/>
    </xf>
    <xf numFmtId="0" fontId="3" fillId="11" borderId="1" xfId="2" applyFont="1" applyFill="1" applyBorder="1" applyAlignment="1" applyProtection="1">
      <alignment horizontal="center" vertical="center" wrapText="1"/>
      <protection locked="0"/>
    </xf>
    <xf numFmtId="0" fontId="10" fillId="8" borderId="12" xfId="2" applyFont="1" applyFill="1" applyBorder="1" applyAlignment="1" applyProtection="1">
      <alignment horizontal="center" vertical="center" wrapText="1"/>
      <protection locked="0"/>
    </xf>
    <xf numFmtId="0" fontId="10" fillId="8" borderId="14" xfId="2" applyFont="1" applyFill="1" applyBorder="1" applyAlignment="1" applyProtection="1">
      <alignment horizontal="center" vertical="center" wrapText="1"/>
      <protection locked="0"/>
    </xf>
    <xf numFmtId="0" fontId="10" fillId="8" borderId="13" xfId="2" applyFont="1" applyFill="1" applyBorder="1" applyAlignment="1" applyProtection="1">
      <alignment horizontal="center" vertical="center" wrapText="1"/>
      <protection locked="0"/>
    </xf>
    <xf numFmtId="0" fontId="10" fillId="8" borderId="8" xfId="2" applyFont="1" applyFill="1" applyBorder="1" applyAlignment="1" applyProtection="1">
      <alignment horizontal="center" vertical="center" wrapText="1"/>
      <protection locked="0"/>
    </xf>
    <xf numFmtId="0" fontId="10" fillId="8" borderId="0" xfId="2" applyFont="1" applyFill="1" applyAlignment="1" applyProtection="1">
      <alignment horizontal="center" vertical="center" wrapText="1"/>
      <protection locked="0"/>
    </xf>
    <xf numFmtId="0" fontId="10" fillId="8" borderId="9" xfId="2" applyFont="1" applyFill="1" applyBorder="1" applyAlignment="1" applyProtection="1">
      <alignment horizontal="center" vertical="center" wrapText="1"/>
      <protection locked="0"/>
    </xf>
    <xf numFmtId="0" fontId="10" fillId="8" borderId="10" xfId="2" applyFont="1" applyFill="1" applyBorder="1" applyAlignment="1" applyProtection="1">
      <alignment horizontal="center" vertical="center" wrapText="1"/>
      <protection locked="0"/>
    </xf>
    <xf numFmtId="0" fontId="10" fillId="8" borderId="3" xfId="2" applyFont="1" applyFill="1" applyBorder="1" applyAlignment="1" applyProtection="1">
      <alignment horizontal="center" vertical="center" wrapText="1"/>
      <protection locked="0"/>
    </xf>
    <xf numFmtId="0" fontId="10" fillId="8" borderId="11" xfId="2" applyFont="1" applyFill="1" applyBorder="1" applyAlignment="1" applyProtection="1">
      <alignment horizontal="center" vertical="center" wrapText="1"/>
      <protection locked="0"/>
    </xf>
    <xf numFmtId="0" fontId="20" fillId="8" borderId="12" xfId="2" applyFont="1" applyFill="1" applyBorder="1" applyAlignment="1" applyProtection="1">
      <alignment horizontal="center"/>
      <protection locked="0"/>
    </xf>
    <xf numFmtId="0" fontId="20" fillId="8" borderId="13" xfId="2" applyFont="1" applyFill="1" applyBorder="1" applyAlignment="1" applyProtection="1">
      <alignment horizontal="center"/>
      <protection locked="0"/>
    </xf>
    <xf numFmtId="0" fontId="20" fillId="8" borderId="8" xfId="2" applyFont="1" applyFill="1" applyBorder="1" applyAlignment="1" applyProtection="1">
      <alignment horizontal="center"/>
      <protection locked="0"/>
    </xf>
    <xf numFmtId="0" fontId="20" fillId="8" borderId="9" xfId="2" applyFont="1" applyFill="1" applyBorder="1" applyAlignment="1" applyProtection="1">
      <alignment horizontal="center"/>
      <protection locked="0"/>
    </xf>
    <xf numFmtId="0" fontId="20" fillId="8" borderId="10" xfId="2" applyFont="1" applyFill="1" applyBorder="1" applyAlignment="1" applyProtection="1">
      <alignment horizontal="center"/>
      <protection locked="0"/>
    </xf>
    <xf numFmtId="0" fontId="20" fillId="8" borderId="11" xfId="2" applyFont="1" applyFill="1" applyBorder="1" applyAlignment="1" applyProtection="1">
      <alignment horizontal="center"/>
      <protection locked="0"/>
    </xf>
    <xf numFmtId="0" fontId="3" fillId="0" borderId="2" xfId="0" applyFont="1" applyBorder="1" applyAlignment="1">
      <alignment vertical="center" wrapText="1"/>
    </xf>
    <xf numFmtId="0" fontId="3" fillId="2" borderId="2" xfId="0" applyFont="1" applyFill="1" applyBorder="1" applyAlignment="1">
      <alignment horizontal="center"/>
    </xf>
    <xf numFmtId="0" fontId="3" fillId="0" borderId="2" xfId="0" applyFont="1" applyBorder="1" applyAlignment="1">
      <alignment horizontal="justify" vertical="center" wrapText="1"/>
    </xf>
    <xf numFmtId="0" fontId="10" fillId="2" borderId="1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3" fillId="3" borderId="2" xfId="0" applyFont="1" applyFill="1" applyBorder="1" applyAlignment="1">
      <alignment horizontal="center" vertical="center"/>
    </xf>
    <xf numFmtId="0" fontId="0" fillId="3" borderId="2" xfId="0" applyFill="1" applyBorder="1" applyAlignment="1">
      <alignment horizontal="center" vertical="center"/>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3" fillId="8" borderId="2" xfId="0" applyFont="1" applyFill="1" applyBorder="1" applyAlignment="1">
      <alignment horizontal="left" vertical="center" wrapText="1"/>
    </xf>
    <xf numFmtId="0" fontId="3" fillId="3" borderId="4" xfId="0" applyFont="1" applyFill="1" applyBorder="1" applyAlignment="1">
      <alignment horizontal="center" vertical="center"/>
    </xf>
    <xf numFmtId="0" fontId="0" fillId="3" borderId="4" xfId="0" applyFill="1" applyBorder="1" applyAlignment="1">
      <alignment horizontal="center" vertical="center"/>
    </xf>
    <xf numFmtId="0" fontId="3" fillId="0" borderId="2" xfId="0" applyFont="1" applyBorder="1" applyAlignment="1">
      <alignment horizontal="left" vertical="center" wrapText="1"/>
    </xf>
    <xf numFmtId="0" fontId="11" fillId="0" borderId="0" xfId="2" applyFont="1" applyAlignment="1">
      <alignment horizontal="center"/>
    </xf>
    <xf numFmtId="0" fontId="2" fillId="0" borderId="0" xfId="2" applyAlignment="1">
      <alignment horizontal="center" vertical="center"/>
    </xf>
    <xf numFmtId="0" fontId="11" fillId="0" borderId="0" xfId="2" applyFont="1" applyAlignment="1">
      <alignment horizontal="center" vertical="center"/>
    </xf>
  </cellXfs>
  <cellStyles count="6">
    <cellStyle name="Normal" xfId="0" builtinId="0"/>
    <cellStyle name="Normal 2" xfId="2" xr:uid="{5CE3F2CC-FC52-451B-80C7-53749B53A8B2}"/>
    <cellStyle name="Normal 2 2" xfId="4" xr:uid="{3C39209C-AFC3-4697-91FB-961793184B67}"/>
    <cellStyle name="Normal 2 3" xfId="5" xr:uid="{56B15D9D-0251-4D50-A0FA-02B7BFF40DAF}"/>
    <cellStyle name="Porcentaje" xfId="1" builtinId="5"/>
    <cellStyle name="Porcentaje 2" xfId="3" xr:uid="{F115B6BD-8198-4BA5-AD58-0322CDA6B5E9}"/>
  </cellStyles>
  <dxfs count="5">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316804</xdr:colOff>
      <xdr:row>0</xdr:row>
      <xdr:rowOff>118409</xdr:rowOff>
    </xdr:from>
    <xdr:to>
      <xdr:col>1</xdr:col>
      <xdr:colOff>847589</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6804" y="118409"/>
          <a:ext cx="154996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3838</xdr:colOff>
      <xdr:row>1</xdr:row>
      <xdr:rowOff>81040</xdr:rowOff>
    </xdr:from>
    <xdr:ext cx="1452927" cy="864375"/>
    <xdr:pic>
      <xdr:nvPicPr>
        <xdr:cNvPr id="2" name="Imagen 1" descr="escudo-alc">
          <a:extLst>
            <a:ext uri="{FF2B5EF4-FFF2-40B4-BE49-F238E27FC236}">
              <a16:creationId xmlns:a16="http://schemas.microsoft.com/office/drawing/2014/main" id="{2A9637B6-96E5-4BCB-9F77-1FE44F785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838" y="271540"/>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20MOCAYO/AppData/Local/Temp/Rar$DIa9628.3497.rartemp/20250331_riesgos_gestion_gec_1monitore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Mapa y plan de tratamiento"/>
      <sheetName val="2. Evaluación de controles"/>
      <sheetName val="Anexos"/>
      <sheetName val="Criterios"/>
    </sheetNames>
    <sheetDataSet>
      <sheetData sheetId="0"/>
      <sheetData sheetId="1"/>
      <sheetData sheetId="2"/>
      <sheetData sheetId="3">
        <row r="3">
          <cell r="B3" t="str">
            <v>Preventivo</v>
          </cell>
          <cell r="C3">
            <v>0.25</v>
          </cell>
        </row>
        <row r="4">
          <cell r="B4" t="str">
            <v>Detectivo</v>
          </cell>
          <cell r="C4">
            <v>0.15</v>
          </cell>
        </row>
        <row r="5">
          <cell r="B5" t="str">
            <v>Correctivo</v>
          </cell>
          <cell r="C5">
            <v>0.1</v>
          </cell>
        </row>
        <row r="6">
          <cell r="B6" t="str">
            <v>No aplica</v>
          </cell>
        </row>
        <row r="7">
          <cell r="B7" t="str">
            <v>Automático</v>
          </cell>
          <cell r="C7">
            <v>0.25</v>
          </cell>
        </row>
        <row r="8">
          <cell r="B8" t="str">
            <v>Manual</v>
          </cell>
          <cell r="C8">
            <v>0.15</v>
          </cell>
        </row>
        <row r="9">
          <cell r="B9" t="str">
            <v>No aplica</v>
          </cell>
        </row>
        <row r="20">
          <cell r="A20" t="str">
            <v>Muy baja</v>
          </cell>
          <cell r="B20">
            <v>0.2</v>
          </cell>
        </row>
        <row r="21">
          <cell r="A21" t="str">
            <v>Baja</v>
          </cell>
          <cell r="B21">
            <v>0.4</v>
          </cell>
        </row>
        <row r="22">
          <cell r="A22" t="str">
            <v>Media</v>
          </cell>
          <cell r="B22">
            <v>0.6</v>
          </cell>
        </row>
        <row r="23">
          <cell r="A23" t="str">
            <v>Alta</v>
          </cell>
          <cell r="B23">
            <v>0.8</v>
          </cell>
        </row>
        <row r="24">
          <cell r="A24" t="str">
            <v>Muy alta</v>
          </cell>
          <cell r="B24">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0"/>
  <sheetViews>
    <sheetView tabSelected="1" view="pageBreakPreview" topLeftCell="AN17" zoomScaleNormal="25" zoomScaleSheetLayoutView="100" zoomScalePageLayoutView="51" workbookViewId="0">
      <selection activeCell="AT18" sqref="AT18"/>
    </sheetView>
  </sheetViews>
  <sheetFormatPr baseColWidth="10" defaultColWidth="11.44140625" defaultRowHeight="13.2" x14ac:dyDescent="0.25"/>
  <cols>
    <col min="1" max="1" width="15.33203125" style="9" customWidth="1"/>
    <col min="2" max="2" width="18.5546875" style="9" customWidth="1"/>
    <col min="3" max="3" width="27.109375" style="9" customWidth="1"/>
    <col min="4" max="4" width="15.33203125" style="9" customWidth="1"/>
    <col min="5" max="5" width="10.88671875" style="9" customWidth="1"/>
    <col min="6" max="6" width="20.6640625" style="9" customWidth="1"/>
    <col min="7" max="7" width="25.6640625" style="9" customWidth="1"/>
    <col min="8" max="8" width="10.6640625" style="9" customWidth="1"/>
    <col min="9" max="10" width="12.6640625" style="9" customWidth="1"/>
    <col min="11" max="11" width="9.6640625" style="9" customWidth="1"/>
    <col min="12" max="12" width="10.88671875" style="9" bestFit="1" customWidth="1"/>
    <col min="13" max="13" width="50.6640625" style="9" customWidth="1"/>
    <col min="14" max="15" width="10.88671875" style="9" customWidth="1"/>
    <col min="16" max="16" width="12.6640625" style="9" customWidth="1"/>
    <col min="17" max="18" width="9.6640625" style="9" customWidth="1"/>
    <col min="19" max="19" width="10.6640625" style="9" customWidth="1"/>
    <col min="20" max="20" width="50.6640625" style="9" customWidth="1"/>
    <col min="21" max="21" width="14.6640625" style="9" customWidth="1"/>
    <col min="22" max="22" width="28.6640625" style="9" customWidth="1"/>
    <col min="23" max="23" width="6.6640625" style="9" customWidth="1"/>
    <col min="24" max="24" width="9.6640625" style="9" customWidth="1"/>
    <col min="25" max="25" width="11.6640625" style="9" customWidth="1"/>
    <col min="26" max="26" width="9.6640625" style="9" customWidth="1"/>
    <col min="27" max="27" width="10.6640625" style="9" customWidth="1"/>
    <col min="28" max="28" width="47.6640625" style="9" customWidth="1"/>
    <col min="29" max="29" width="13.6640625" style="9" customWidth="1"/>
    <col min="30" max="30" width="23.88671875" style="9" customWidth="1"/>
    <col min="31" max="31" width="9.6640625" style="9" customWidth="1"/>
    <col min="32" max="32" width="10.6640625" style="9" customWidth="1"/>
    <col min="33" max="33" width="11.6640625" style="9" customWidth="1"/>
    <col min="34" max="34" width="45.77734375" style="9" customWidth="1"/>
    <col min="35" max="35" width="13.6640625" style="9" customWidth="1"/>
    <col min="36" max="36" width="20.6640625" style="9" customWidth="1"/>
    <col min="37" max="37" width="9.6640625" style="9" customWidth="1"/>
    <col min="38" max="39" width="10.6640625" style="9" customWidth="1"/>
    <col min="40" max="40" width="45.77734375" style="9" customWidth="1"/>
    <col min="41" max="41" width="12.6640625" style="9" customWidth="1"/>
    <col min="42" max="42" width="32.77734375" style="9" customWidth="1"/>
    <col min="43" max="43" width="9.88671875" style="9" customWidth="1"/>
    <col min="44" max="44" width="10.77734375" style="9" customWidth="1"/>
    <col min="45" max="45" width="11.77734375" style="9" customWidth="1"/>
    <col min="46" max="46" width="40.77734375" style="9" customWidth="1"/>
    <col min="47" max="47" width="12.77734375" style="9" customWidth="1"/>
    <col min="48" max="48" width="25.77734375" style="9" customWidth="1"/>
    <col min="49" max="49" width="2.44140625" style="9" customWidth="1"/>
    <col min="50" max="52" width="11.44140625" style="9" customWidth="1"/>
    <col min="53" max="16384" width="11.44140625" style="9"/>
  </cols>
  <sheetData>
    <row r="1" spans="1:53" ht="21" customHeight="1" x14ac:dyDescent="0.25">
      <c r="A1" s="163"/>
      <c r="B1" s="163"/>
      <c r="C1" s="166" t="s">
        <v>0</v>
      </c>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8"/>
      <c r="AU1" s="39" t="s">
        <v>1</v>
      </c>
      <c r="AV1" s="37" t="s">
        <v>2</v>
      </c>
      <c r="AW1" s="22"/>
      <c r="AX1" s="10"/>
      <c r="AY1" s="10"/>
      <c r="AZ1" s="10"/>
      <c r="BA1" s="10"/>
    </row>
    <row r="2" spans="1:53" ht="21" customHeight="1" x14ac:dyDescent="0.25">
      <c r="A2" s="163"/>
      <c r="B2" s="163"/>
      <c r="C2" s="169"/>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1"/>
      <c r="AU2" s="39" t="s">
        <v>3</v>
      </c>
      <c r="AV2" s="37">
        <v>4</v>
      </c>
      <c r="AW2" s="22"/>
      <c r="AX2" s="10"/>
      <c r="AY2" s="10"/>
      <c r="AZ2" s="10"/>
      <c r="BA2" s="10"/>
    </row>
    <row r="3" spans="1:53" ht="21" customHeight="1" x14ac:dyDescent="0.25">
      <c r="A3" s="163"/>
      <c r="B3" s="163"/>
      <c r="C3" s="169"/>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1"/>
      <c r="AU3" s="39" t="s">
        <v>4</v>
      </c>
      <c r="AV3" s="37" t="s">
        <v>5</v>
      </c>
      <c r="AW3" s="22"/>
      <c r="AX3" s="10"/>
      <c r="AY3" s="10"/>
      <c r="AZ3" s="10"/>
      <c r="BA3" s="10"/>
    </row>
    <row r="4" spans="1:53" ht="21" customHeight="1" x14ac:dyDescent="0.25">
      <c r="A4" s="163"/>
      <c r="B4" s="163"/>
      <c r="C4" s="172"/>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4"/>
      <c r="AU4" s="39" t="s">
        <v>6</v>
      </c>
      <c r="AV4" s="37" t="s">
        <v>7</v>
      </c>
      <c r="AW4" s="22"/>
      <c r="AX4" s="10"/>
      <c r="AY4" s="10"/>
      <c r="AZ4" s="10"/>
      <c r="BA4" s="10"/>
    </row>
    <row r="5" spans="1:53" x14ac:dyDescent="0.25">
      <c r="A5" s="176"/>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85" t="s">
        <v>8</v>
      </c>
      <c r="AW5" s="22"/>
      <c r="AX5" s="10"/>
      <c r="AY5" s="10"/>
      <c r="AZ5" s="10"/>
      <c r="BA5" s="10"/>
    </row>
    <row r="6" spans="1:53" x14ac:dyDescent="0.25">
      <c r="A6" s="180" t="s">
        <v>9</v>
      </c>
      <c r="B6" s="180"/>
      <c r="C6" s="18" t="s">
        <v>10</v>
      </c>
      <c r="D6" s="17"/>
      <c r="E6" s="17"/>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22"/>
      <c r="AX6" s="10"/>
      <c r="AY6" s="10"/>
      <c r="AZ6" s="10"/>
      <c r="BA6" s="10"/>
    </row>
    <row r="7" spans="1:53" x14ac:dyDescent="0.25">
      <c r="A7" s="88"/>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22"/>
      <c r="AX7" s="10"/>
      <c r="AY7" s="10"/>
      <c r="AZ7" s="10"/>
      <c r="BA7" s="10"/>
    </row>
    <row r="8" spans="1:53" ht="26.25" customHeight="1" x14ac:dyDescent="0.25">
      <c r="A8" s="177" t="s">
        <v>11</v>
      </c>
      <c r="B8" s="178"/>
      <c r="C8" s="178"/>
      <c r="D8" s="178"/>
      <c r="E8" s="178"/>
      <c r="F8" s="178"/>
      <c r="G8" s="178"/>
      <c r="H8" s="178"/>
      <c r="I8" s="178"/>
      <c r="J8" s="178"/>
      <c r="K8" s="178"/>
      <c r="L8" s="179"/>
      <c r="M8" s="181" t="s">
        <v>12</v>
      </c>
      <c r="N8" s="182"/>
      <c r="O8" s="182"/>
      <c r="P8" s="182"/>
      <c r="Q8" s="182"/>
      <c r="R8" s="182"/>
      <c r="S8" s="182"/>
      <c r="T8" s="182"/>
      <c r="U8" s="182"/>
      <c r="V8" s="182"/>
      <c r="W8" s="182"/>
      <c r="X8" s="182"/>
      <c r="Y8" s="183"/>
      <c r="Z8" s="185" t="s">
        <v>13</v>
      </c>
      <c r="AA8" s="185"/>
      <c r="AB8" s="185"/>
      <c r="AC8" s="185"/>
      <c r="AD8" s="185"/>
      <c r="AE8" s="185"/>
      <c r="AF8" s="185"/>
      <c r="AG8" s="185"/>
      <c r="AH8" s="185"/>
      <c r="AI8" s="185"/>
      <c r="AJ8" s="185"/>
      <c r="AK8" s="185"/>
      <c r="AL8" s="185"/>
      <c r="AM8" s="185"/>
      <c r="AN8" s="185"/>
      <c r="AO8" s="185"/>
      <c r="AP8" s="185"/>
      <c r="AQ8" s="185"/>
      <c r="AR8" s="185"/>
      <c r="AS8" s="185"/>
      <c r="AT8" s="185"/>
      <c r="AU8" s="185"/>
      <c r="AV8" s="185"/>
      <c r="AW8" s="92"/>
      <c r="AX8" s="93"/>
      <c r="AY8" s="93"/>
      <c r="AZ8" s="93"/>
      <c r="BA8" s="93"/>
    </row>
    <row r="9" spans="1:53" s="11" customFormat="1" ht="46.5" customHeight="1" x14ac:dyDescent="0.25">
      <c r="A9" s="146" t="s">
        <v>14</v>
      </c>
      <c r="B9" s="146" t="s">
        <v>15</v>
      </c>
      <c r="C9" s="146" t="s">
        <v>16</v>
      </c>
      <c r="D9" s="146" t="s">
        <v>17</v>
      </c>
      <c r="E9" s="146" t="s">
        <v>18</v>
      </c>
      <c r="F9" s="146" t="s">
        <v>19</v>
      </c>
      <c r="G9" s="147" t="s">
        <v>20</v>
      </c>
      <c r="H9" s="147" t="s">
        <v>21</v>
      </c>
      <c r="I9" s="165" t="s">
        <v>22</v>
      </c>
      <c r="J9" s="186" t="s">
        <v>23</v>
      </c>
      <c r="K9" s="187"/>
      <c r="L9" s="187"/>
      <c r="M9" s="151" t="s">
        <v>24</v>
      </c>
      <c r="N9" s="151" t="s">
        <v>25</v>
      </c>
      <c r="O9" s="151" t="s">
        <v>26</v>
      </c>
      <c r="P9" s="175" t="s">
        <v>27</v>
      </c>
      <c r="Q9" s="175"/>
      <c r="R9" s="175"/>
      <c r="S9" s="184" t="s">
        <v>28</v>
      </c>
      <c r="T9" s="148" t="s">
        <v>29</v>
      </c>
      <c r="U9" s="149"/>
      <c r="V9" s="149"/>
      <c r="W9" s="149"/>
      <c r="X9" s="149"/>
      <c r="Y9" s="150"/>
      <c r="Z9" s="152" t="s">
        <v>30</v>
      </c>
      <c r="AA9" s="153"/>
      <c r="AB9" s="153"/>
      <c r="AC9" s="153"/>
      <c r="AD9" s="154"/>
      <c r="AE9" s="152" t="s">
        <v>31</v>
      </c>
      <c r="AF9" s="153"/>
      <c r="AG9" s="153"/>
      <c r="AH9" s="153"/>
      <c r="AI9" s="153"/>
      <c r="AJ9" s="154"/>
      <c r="AK9" s="152" t="s">
        <v>32</v>
      </c>
      <c r="AL9" s="153"/>
      <c r="AM9" s="153"/>
      <c r="AN9" s="153"/>
      <c r="AO9" s="153"/>
      <c r="AP9" s="154"/>
      <c r="AQ9" s="152" t="s">
        <v>33</v>
      </c>
      <c r="AR9" s="153"/>
      <c r="AS9" s="153"/>
      <c r="AT9" s="153"/>
      <c r="AU9" s="153"/>
      <c r="AV9" s="154"/>
      <c r="AW9" s="94"/>
      <c r="AX9" s="95"/>
      <c r="AY9" s="95"/>
      <c r="AZ9" s="95"/>
      <c r="BA9" s="95"/>
    </row>
    <row r="10" spans="1:53" ht="46.5" customHeight="1" x14ac:dyDescent="0.25">
      <c r="A10" s="147"/>
      <c r="B10" s="147"/>
      <c r="C10" s="147"/>
      <c r="D10" s="147"/>
      <c r="E10" s="147"/>
      <c r="F10" s="147"/>
      <c r="G10" s="164"/>
      <c r="H10" s="164"/>
      <c r="I10" s="151"/>
      <c r="J10" s="19" t="s">
        <v>34</v>
      </c>
      <c r="K10" s="19" t="s">
        <v>35</v>
      </c>
      <c r="L10" s="19" t="s">
        <v>36</v>
      </c>
      <c r="M10" s="151"/>
      <c r="N10" s="151"/>
      <c r="O10" s="151"/>
      <c r="P10" s="19" t="s">
        <v>34</v>
      </c>
      <c r="Q10" s="19" t="s">
        <v>35</v>
      </c>
      <c r="R10" s="86" t="s">
        <v>36</v>
      </c>
      <c r="S10" s="165"/>
      <c r="T10" s="19" t="s">
        <v>37</v>
      </c>
      <c r="U10" s="19" t="s">
        <v>38</v>
      </c>
      <c r="V10" s="19" t="s">
        <v>39</v>
      </c>
      <c r="W10" s="8" t="s">
        <v>40</v>
      </c>
      <c r="X10" s="19" t="s">
        <v>41</v>
      </c>
      <c r="Y10" s="19" t="s">
        <v>42</v>
      </c>
      <c r="Z10" s="1" t="s">
        <v>43</v>
      </c>
      <c r="AA10" s="1" t="s">
        <v>44</v>
      </c>
      <c r="AB10" s="1" t="s">
        <v>45</v>
      </c>
      <c r="AC10" s="1" t="s">
        <v>46</v>
      </c>
      <c r="AD10" s="13" t="s">
        <v>47</v>
      </c>
      <c r="AE10" s="1" t="s">
        <v>43</v>
      </c>
      <c r="AF10" s="1" t="s">
        <v>44</v>
      </c>
      <c r="AG10" s="1" t="s">
        <v>48</v>
      </c>
      <c r="AH10" s="1" t="s">
        <v>45</v>
      </c>
      <c r="AI10" s="1" t="s">
        <v>46</v>
      </c>
      <c r="AJ10" s="13" t="s">
        <v>47</v>
      </c>
      <c r="AK10" s="1" t="s">
        <v>43</v>
      </c>
      <c r="AL10" s="1" t="s">
        <v>44</v>
      </c>
      <c r="AM10" s="1" t="s">
        <v>48</v>
      </c>
      <c r="AN10" s="1" t="s">
        <v>45</v>
      </c>
      <c r="AO10" s="1" t="s">
        <v>46</v>
      </c>
      <c r="AP10" s="13" t="s">
        <v>47</v>
      </c>
      <c r="AQ10" s="1" t="s">
        <v>43</v>
      </c>
      <c r="AR10" s="1" t="s">
        <v>44</v>
      </c>
      <c r="AS10" s="1" t="s">
        <v>48</v>
      </c>
      <c r="AT10" s="1" t="s">
        <v>45</v>
      </c>
      <c r="AU10" s="1" t="s">
        <v>46</v>
      </c>
      <c r="AV10" s="13" t="s">
        <v>47</v>
      </c>
      <c r="AW10" s="93"/>
      <c r="AX10" s="93"/>
      <c r="AY10" s="93"/>
      <c r="AZ10" s="93"/>
      <c r="BA10" s="93"/>
    </row>
    <row r="11" spans="1:53" s="12" customFormat="1" ht="168" customHeight="1" x14ac:dyDescent="0.25">
      <c r="A11" s="134" t="s">
        <v>49</v>
      </c>
      <c r="B11" s="134" t="s">
        <v>50</v>
      </c>
      <c r="C11" s="134" t="s">
        <v>51</v>
      </c>
      <c r="D11" s="188" t="s">
        <v>52</v>
      </c>
      <c r="E11" s="134" t="s">
        <v>53</v>
      </c>
      <c r="F11" s="21" t="s">
        <v>54</v>
      </c>
      <c r="G11" s="134" t="s">
        <v>55</v>
      </c>
      <c r="H11" s="134" t="s">
        <v>56</v>
      </c>
      <c r="I11" s="155" t="s">
        <v>57</v>
      </c>
      <c r="J11" s="134" t="s">
        <v>58</v>
      </c>
      <c r="K11" s="134" t="s">
        <v>59</v>
      </c>
      <c r="L11" s="137" t="str">
        <f>VLOOKUP(J11,Anexos!$B$37:$G$43,(HLOOKUP(K11,Anexos!$C$37:$G$38,2,0)),0)</f>
        <v>Moderado</v>
      </c>
      <c r="M11" s="21" t="s">
        <v>60</v>
      </c>
      <c r="N11" s="98" t="s">
        <v>61</v>
      </c>
      <c r="O11" s="98" t="s">
        <v>62</v>
      </c>
      <c r="P11" s="134" t="s">
        <v>63</v>
      </c>
      <c r="Q11" s="157" t="s">
        <v>59</v>
      </c>
      <c r="R11" s="159" t="str">
        <f>VLOOKUP(P11,Anexos!$B$37:$G$43,(HLOOKUP(Q11,Anexos!$C$37:$G$38,2,0)),0)</f>
        <v>Moderado</v>
      </c>
      <c r="S11" s="161" t="s">
        <v>64</v>
      </c>
      <c r="T11" s="21" t="s">
        <v>60</v>
      </c>
      <c r="U11" s="90" t="s">
        <v>65</v>
      </c>
      <c r="V11" s="91" t="s">
        <v>66</v>
      </c>
      <c r="W11" s="107">
        <v>1</v>
      </c>
      <c r="X11" s="108">
        <v>45689</v>
      </c>
      <c r="Y11" s="110" t="s">
        <v>67</v>
      </c>
      <c r="Z11" s="99">
        <v>45754</v>
      </c>
      <c r="AA11" s="133">
        <f>2/11</f>
        <v>0.18181818181818182</v>
      </c>
      <c r="AB11" s="114" t="s">
        <v>68</v>
      </c>
      <c r="AC11" s="144" t="s">
        <v>69</v>
      </c>
      <c r="AD11" s="114" t="s">
        <v>70</v>
      </c>
      <c r="AE11" s="99">
        <v>45845</v>
      </c>
      <c r="AF11" s="132">
        <f>3/11</f>
        <v>0.27272727272727271</v>
      </c>
      <c r="AG11" s="112">
        <f>SUM(AA11+AF11)</f>
        <v>0.45454545454545453</v>
      </c>
      <c r="AH11" s="114" t="s">
        <v>71</v>
      </c>
      <c r="AI11" s="134" t="s">
        <v>69</v>
      </c>
      <c r="AJ11" s="114" t="s">
        <v>72</v>
      </c>
      <c r="AK11" s="129">
        <v>45937</v>
      </c>
      <c r="AL11" s="112">
        <f>3/11</f>
        <v>0.27272727272727271</v>
      </c>
      <c r="AM11" s="112">
        <f>SUM(AA11+AF11+AL11)</f>
        <v>0.72727272727272729</v>
      </c>
      <c r="AN11" s="114" t="s">
        <v>291</v>
      </c>
      <c r="AO11" s="134" t="s">
        <v>69</v>
      </c>
      <c r="AP11" s="114" t="s">
        <v>292</v>
      </c>
      <c r="AQ11" s="129">
        <v>46029</v>
      </c>
      <c r="AR11" s="112">
        <f>3/11</f>
        <v>0.27272727272727271</v>
      </c>
      <c r="AS11" s="112">
        <f>SUM(AG11+AL11+AR11)</f>
        <v>1</v>
      </c>
      <c r="AT11" s="131" t="s">
        <v>298</v>
      </c>
      <c r="AU11" s="134" t="s">
        <v>69</v>
      </c>
      <c r="AV11" s="114" t="s">
        <v>302</v>
      </c>
    </row>
    <row r="12" spans="1:53" s="12" customFormat="1" ht="162" customHeight="1" x14ac:dyDescent="0.25">
      <c r="A12" s="136"/>
      <c r="B12" s="136"/>
      <c r="C12" s="136"/>
      <c r="D12" s="188"/>
      <c r="E12" s="135"/>
      <c r="F12" s="21" t="s">
        <v>73</v>
      </c>
      <c r="G12" s="135"/>
      <c r="H12" s="135"/>
      <c r="I12" s="156"/>
      <c r="J12" s="135"/>
      <c r="K12" s="135"/>
      <c r="L12" s="139"/>
      <c r="M12" s="21" t="s">
        <v>74</v>
      </c>
      <c r="N12" s="98" t="s">
        <v>61</v>
      </c>
      <c r="O12" s="98" t="s">
        <v>62</v>
      </c>
      <c r="P12" s="135"/>
      <c r="Q12" s="158"/>
      <c r="R12" s="160"/>
      <c r="S12" s="162"/>
      <c r="T12" s="21" t="s">
        <v>74</v>
      </c>
      <c r="U12" s="90" t="s">
        <v>65</v>
      </c>
      <c r="V12" s="91" t="s">
        <v>75</v>
      </c>
      <c r="W12" s="109">
        <v>1</v>
      </c>
      <c r="X12" s="108">
        <v>45658</v>
      </c>
      <c r="Y12" s="110" t="s">
        <v>67</v>
      </c>
      <c r="Z12" s="99">
        <v>45754</v>
      </c>
      <c r="AA12" s="113">
        <f>3/12</f>
        <v>0.25</v>
      </c>
      <c r="AB12" s="114" t="s">
        <v>76</v>
      </c>
      <c r="AC12" s="145"/>
      <c r="AD12" s="114" t="s">
        <v>70</v>
      </c>
      <c r="AE12" s="99">
        <v>45845</v>
      </c>
      <c r="AF12" s="112">
        <f>3/12</f>
        <v>0.25</v>
      </c>
      <c r="AG12" s="112">
        <f>SUM(AA12+AF12)</f>
        <v>0.5</v>
      </c>
      <c r="AH12" s="114" t="s">
        <v>77</v>
      </c>
      <c r="AI12" s="135"/>
      <c r="AJ12" s="114" t="s">
        <v>72</v>
      </c>
      <c r="AK12" s="129">
        <v>45937</v>
      </c>
      <c r="AL12" s="112">
        <f>3/12</f>
        <v>0.25</v>
      </c>
      <c r="AM12" s="112">
        <f>SUM(AA12+AF12+AL12)</f>
        <v>0.75</v>
      </c>
      <c r="AN12" s="114" t="s">
        <v>293</v>
      </c>
      <c r="AO12" s="135"/>
      <c r="AP12" s="114" t="s">
        <v>292</v>
      </c>
      <c r="AQ12" s="129">
        <v>46029</v>
      </c>
      <c r="AR12" s="112">
        <f>3/12</f>
        <v>0.25</v>
      </c>
      <c r="AS12" s="112">
        <f>SUM(AG12+AL12+AR12)</f>
        <v>1</v>
      </c>
      <c r="AT12" s="131" t="s">
        <v>299</v>
      </c>
      <c r="AU12" s="135"/>
      <c r="AV12" s="114" t="s">
        <v>302</v>
      </c>
    </row>
    <row r="13" spans="1:53" s="12" customFormat="1" ht="183" customHeight="1" x14ac:dyDescent="0.25">
      <c r="A13" s="136"/>
      <c r="B13" s="136"/>
      <c r="C13" s="136"/>
      <c r="D13" s="188" t="s">
        <v>52</v>
      </c>
      <c r="E13" s="134" t="s">
        <v>78</v>
      </c>
      <c r="F13" s="21" t="s">
        <v>79</v>
      </c>
      <c r="G13" s="134" t="s">
        <v>80</v>
      </c>
      <c r="H13" s="134" t="s">
        <v>81</v>
      </c>
      <c r="I13" s="155" t="s">
        <v>57</v>
      </c>
      <c r="J13" s="134" t="s">
        <v>63</v>
      </c>
      <c r="K13" s="134" t="s">
        <v>82</v>
      </c>
      <c r="L13" s="137" t="str">
        <f>VLOOKUP(J13,Anexos!$B$37:$G$43,(HLOOKUP(K13,Anexos!$C$37:$G$38,2,0)),0)</f>
        <v>Alto</v>
      </c>
      <c r="M13" s="21" t="s">
        <v>83</v>
      </c>
      <c r="N13" s="98" t="s">
        <v>61</v>
      </c>
      <c r="O13" s="98" t="s">
        <v>62</v>
      </c>
      <c r="P13" s="134" t="s">
        <v>63</v>
      </c>
      <c r="Q13" s="134" t="s">
        <v>59</v>
      </c>
      <c r="R13" s="143" t="str">
        <f>VLOOKUP(P13,Anexos!$B$37:$G$43,(HLOOKUP(Q13,Anexos!$C$37:$G$38,2,0)),0)</f>
        <v>Moderado</v>
      </c>
      <c r="S13" s="140" t="s">
        <v>64</v>
      </c>
      <c r="T13" s="21" t="s">
        <v>83</v>
      </c>
      <c r="U13" s="90" t="s">
        <v>65</v>
      </c>
      <c r="V13" s="91" t="s">
        <v>84</v>
      </c>
      <c r="W13" s="109">
        <v>1</v>
      </c>
      <c r="X13" s="108">
        <v>45748</v>
      </c>
      <c r="Y13" s="110" t="s">
        <v>67</v>
      </c>
      <c r="Z13" s="99">
        <v>45754</v>
      </c>
      <c r="AA13" s="113"/>
      <c r="AB13" s="115" t="s">
        <v>85</v>
      </c>
      <c r="AC13" s="144" t="s">
        <v>69</v>
      </c>
      <c r="AD13" s="114" t="s">
        <v>86</v>
      </c>
      <c r="AE13" s="99">
        <v>45845</v>
      </c>
      <c r="AF13" s="112">
        <f>2/3</f>
        <v>0.66666666666666663</v>
      </c>
      <c r="AG13" s="112">
        <f>AF13</f>
        <v>0.66666666666666663</v>
      </c>
      <c r="AH13" s="114" t="s">
        <v>87</v>
      </c>
      <c r="AI13" s="134" t="s">
        <v>69</v>
      </c>
      <c r="AJ13" s="114" t="s">
        <v>72</v>
      </c>
      <c r="AK13" s="129">
        <v>45937</v>
      </c>
      <c r="AL13" s="112"/>
      <c r="AM13" s="112">
        <f>AG13</f>
        <v>0.66666666666666663</v>
      </c>
      <c r="AN13" s="130" t="s">
        <v>88</v>
      </c>
      <c r="AO13" s="134" t="s">
        <v>69</v>
      </c>
      <c r="AP13" s="114" t="s">
        <v>292</v>
      </c>
      <c r="AQ13" s="129">
        <v>46029</v>
      </c>
      <c r="AR13" s="112">
        <f>1/3</f>
        <v>0.33333333333333331</v>
      </c>
      <c r="AS13" s="112">
        <f>AM13+AR13</f>
        <v>1</v>
      </c>
      <c r="AT13" s="130" t="s">
        <v>304</v>
      </c>
      <c r="AU13" s="134" t="s">
        <v>69</v>
      </c>
      <c r="AV13" s="114" t="s">
        <v>302</v>
      </c>
    </row>
    <row r="14" spans="1:53" s="12" customFormat="1" ht="177" customHeight="1" x14ac:dyDescent="0.25">
      <c r="A14" s="136"/>
      <c r="B14" s="136"/>
      <c r="C14" s="136"/>
      <c r="D14" s="188"/>
      <c r="E14" s="135"/>
      <c r="F14" s="21" t="s">
        <v>89</v>
      </c>
      <c r="G14" s="135"/>
      <c r="H14" s="135"/>
      <c r="I14" s="156"/>
      <c r="J14" s="135"/>
      <c r="K14" s="135"/>
      <c r="L14" s="139"/>
      <c r="M14" s="21" t="s">
        <v>90</v>
      </c>
      <c r="N14" s="98" t="s">
        <v>61</v>
      </c>
      <c r="O14" s="98" t="s">
        <v>62</v>
      </c>
      <c r="P14" s="135"/>
      <c r="Q14" s="135"/>
      <c r="R14" s="139"/>
      <c r="S14" s="142"/>
      <c r="T14" s="21" t="s">
        <v>90</v>
      </c>
      <c r="U14" s="90" t="s">
        <v>65</v>
      </c>
      <c r="V14" s="91" t="s">
        <v>91</v>
      </c>
      <c r="W14" s="109">
        <v>1</v>
      </c>
      <c r="X14" s="108">
        <v>45748</v>
      </c>
      <c r="Y14" s="110" t="s">
        <v>67</v>
      </c>
      <c r="Z14" s="99">
        <v>45754</v>
      </c>
      <c r="AA14" s="113"/>
      <c r="AB14" s="115" t="s">
        <v>85</v>
      </c>
      <c r="AC14" s="145"/>
      <c r="AD14" s="114" t="s">
        <v>86</v>
      </c>
      <c r="AE14" s="99">
        <v>45845</v>
      </c>
      <c r="AF14" s="112">
        <f>1/3</f>
        <v>0.33333333333333331</v>
      </c>
      <c r="AG14" s="112">
        <f>AF14</f>
        <v>0.33333333333333331</v>
      </c>
      <c r="AH14" s="114" t="s">
        <v>92</v>
      </c>
      <c r="AI14" s="135"/>
      <c r="AJ14" s="114" t="s">
        <v>72</v>
      </c>
      <c r="AK14" s="129">
        <v>45937</v>
      </c>
      <c r="AL14" s="112">
        <v>0</v>
      </c>
      <c r="AM14" s="112">
        <v>0.33</v>
      </c>
      <c r="AN14" s="130" t="s">
        <v>93</v>
      </c>
      <c r="AO14" s="135"/>
      <c r="AP14" s="114" t="s">
        <v>295</v>
      </c>
      <c r="AQ14" s="129">
        <v>46029</v>
      </c>
      <c r="AR14" s="112">
        <f>2/3</f>
        <v>0.66666666666666663</v>
      </c>
      <c r="AS14" s="112">
        <f>SUM(AM14+AR14)</f>
        <v>0.99666666666666659</v>
      </c>
      <c r="AT14" s="130" t="s">
        <v>306</v>
      </c>
      <c r="AU14" s="135"/>
      <c r="AV14" s="114" t="s">
        <v>302</v>
      </c>
    </row>
    <row r="15" spans="1:53" s="12" customFormat="1" ht="144" customHeight="1" x14ac:dyDescent="0.25">
      <c r="A15" s="136"/>
      <c r="B15" s="136"/>
      <c r="C15" s="136"/>
      <c r="D15" s="188" t="s">
        <v>52</v>
      </c>
      <c r="E15" s="134" t="s">
        <v>94</v>
      </c>
      <c r="F15" s="21" t="s">
        <v>95</v>
      </c>
      <c r="G15" s="134" t="s">
        <v>96</v>
      </c>
      <c r="H15" s="134" t="s">
        <v>81</v>
      </c>
      <c r="I15" s="155" t="s">
        <v>97</v>
      </c>
      <c r="J15" s="134" t="s">
        <v>98</v>
      </c>
      <c r="K15" s="134" t="s">
        <v>59</v>
      </c>
      <c r="L15" s="137" t="str">
        <f>VLOOKUP(J15,Anexos!$B$37:$G$43,(HLOOKUP(K15,Anexos!$C$37:$G$38,2,0)),0)</f>
        <v>Moderado</v>
      </c>
      <c r="M15" s="21" t="s">
        <v>99</v>
      </c>
      <c r="N15" s="98" t="s">
        <v>61</v>
      </c>
      <c r="O15" s="98" t="s">
        <v>62</v>
      </c>
      <c r="P15" s="134" t="s">
        <v>63</v>
      </c>
      <c r="Q15" s="134" t="s">
        <v>59</v>
      </c>
      <c r="R15" s="137" t="str">
        <f>VLOOKUP(P15,Anexos!$B$37:$G$43,(HLOOKUP(Q15,Anexos!$C$37:$G$38,2,0)),0)</f>
        <v>Moderado</v>
      </c>
      <c r="S15" s="140" t="s">
        <v>64</v>
      </c>
      <c r="T15" s="21" t="s">
        <v>99</v>
      </c>
      <c r="U15" s="90" t="s">
        <v>65</v>
      </c>
      <c r="V15" s="91" t="s">
        <v>100</v>
      </c>
      <c r="W15" s="109">
        <v>1</v>
      </c>
      <c r="X15" s="108">
        <v>45659</v>
      </c>
      <c r="Y15" s="110" t="s">
        <v>67</v>
      </c>
      <c r="Z15" s="99">
        <v>45754</v>
      </c>
      <c r="AA15" s="113">
        <v>0</v>
      </c>
      <c r="AB15" s="114" t="s">
        <v>101</v>
      </c>
      <c r="AC15" s="144" t="s">
        <v>69</v>
      </c>
      <c r="AD15" s="114" t="s">
        <v>102</v>
      </c>
      <c r="AE15" s="99">
        <v>45845</v>
      </c>
      <c r="AF15" s="112">
        <f>1/1</f>
        <v>1</v>
      </c>
      <c r="AG15" s="112">
        <v>1</v>
      </c>
      <c r="AH15" s="114" t="s">
        <v>103</v>
      </c>
      <c r="AI15" s="134" t="s">
        <v>69</v>
      </c>
      <c r="AJ15" s="114" t="s">
        <v>72</v>
      </c>
      <c r="AK15" s="129">
        <v>45937</v>
      </c>
      <c r="AL15" s="112">
        <f>1/1</f>
        <v>1</v>
      </c>
      <c r="AM15" s="112">
        <v>1</v>
      </c>
      <c r="AN15" s="114" t="s">
        <v>294</v>
      </c>
      <c r="AO15" s="134" t="s">
        <v>69</v>
      </c>
      <c r="AP15" s="114" t="s">
        <v>292</v>
      </c>
      <c r="AQ15" s="129">
        <v>46029</v>
      </c>
      <c r="AR15" s="112"/>
      <c r="AS15" s="112">
        <v>1</v>
      </c>
      <c r="AT15" s="130" t="s">
        <v>305</v>
      </c>
      <c r="AU15" s="134" t="s">
        <v>69</v>
      </c>
      <c r="AV15" s="114" t="s">
        <v>302</v>
      </c>
    </row>
    <row r="16" spans="1:53" s="12" customFormat="1" ht="183" customHeight="1" x14ac:dyDescent="0.25">
      <c r="A16" s="136"/>
      <c r="B16" s="136"/>
      <c r="C16" s="136"/>
      <c r="D16" s="188"/>
      <c r="E16" s="136"/>
      <c r="F16" s="21" t="s">
        <v>104</v>
      </c>
      <c r="G16" s="136"/>
      <c r="H16" s="136"/>
      <c r="I16" s="190"/>
      <c r="J16" s="136"/>
      <c r="K16" s="136"/>
      <c r="L16" s="138"/>
      <c r="M16" s="21" t="s">
        <v>105</v>
      </c>
      <c r="N16" s="98" t="s">
        <v>61</v>
      </c>
      <c r="O16" s="98" t="s">
        <v>62</v>
      </c>
      <c r="P16" s="136"/>
      <c r="Q16" s="136"/>
      <c r="R16" s="138"/>
      <c r="S16" s="141"/>
      <c r="T16" s="21" t="s">
        <v>105</v>
      </c>
      <c r="U16" s="90" t="s">
        <v>65</v>
      </c>
      <c r="V16" s="91" t="s">
        <v>106</v>
      </c>
      <c r="W16" s="109">
        <v>1</v>
      </c>
      <c r="X16" s="108">
        <v>45659</v>
      </c>
      <c r="Y16" s="110" t="s">
        <v>67</v>
      </c>
      <c r="Z16" s="99">
        <v>45754</v>
      </c>
      <c r="AA16" s="112">
        <v>0.1</v>
      </c>
      <c r="AB16" s="114" t="s">
        <v>107</v>
      </c>
      <c r="AC16" s="189"/>
      <c r="AD16" s="114" t="s">
        <v>70</v>
      </c>
      <c r="AE16" s="99">
        <v>45845</v>
      </c>
      <c r="AF16" s="109">
        <v>0.3</v>
      </c>
      <c r="AG16" s="120">
        <v>0.4</v>
      </c>
      <c r="AH16" s="121" t="s">
        <v>108</v>
      </c>
      <c r="AI16" s="136"/>
      <c r="AJ16" s="114" t="s">
        <v>72</v>
      </c>
      <c r="AK16" s="129">
        <v>45937</v>
      </c>
      <c r="AL16" s="112">
        <v>0.3</v>
      </c>
      <c r="AM16" s="112">
        <v>0.7</v>
      </c>
      <c r="AN16" s="114" t="s">
        <v>109</v>
      </c>
      <c r="AO16" s="136"/>
      <c r="AP16" s="114" t="s">
        <v>292</v>
      </c>
      <c r="AQ16" s="129">
        <v>46029</v>
      </c>
      <c r="AR16" s="120">
        <v>0.3</v>
      </c>
      <c r="AS16" s="120">
        <v>1</v>
      </c>
      <c r="AT16" s="121" t="s">
        <v>300</v>
      </c>
      <c r="AU16" s="136"/>
      <c r="AV16" s="114" t="s">
        <v>302</v>
      </c>
    </row>
    <row r="17" spans="1:48" ht="207" customHeight="1" x14ac:dyDescent="0.25">
      <c r="A17" s="136"/>
      <c r="B17" s="136"/>
      <c r="C17" s="136"/>
      <c r="D17" s="188"/>
      <c r="E17" s="136"/>
      <c r="F17" s="21" t="s">
        <v>110</v>
      </c>
      <c r="G17" s="136"/>
      <c r="H17" s="136"/>
      <c r="I17" s="190"/>
      <c r="J17" s="136"/>
      <c r="K17" s="136"/>
      <c r="L17" s="138"/>
      <c r="M17" s="21" t="s">
        <v>111</v>
      </c>
      <c r="N17" s="98" t="s">
        <v>61</v>
      </c>
      <c r="O17" s="98" t="s">
        <v>62</v>
      </c>
      <c r="P17" s="136"/>
      <c r="Q17" s="136"/>
      <c r="R17" s="138"/>
      <c r="S17" s="141"/>
      <c r="T17" s="21" t="s">
        <v>111</v>
      </c>
      <c r="U17" s="90" t="s">
        <v>65</v>
      </c>
      <c r="V17" s="91" t="s">
        <v>112</v>
      </c>
      <c r="W17" s="109">
        <v>1</v>
      </c>
      <c r="X17" s="108">
        <v>45659</v>
      </c>
      <c r="Y17" s="110" t="s">
        <v>67</v>
      </c>
      <c r="Z17" s="99">
        <v>45754</v>
      </c>
      <c r="AA17" s="113">
        <v>0.17</v>
      </c>
      <c r="AB17" s="114" t="s">
        <v>113</v>
      </c>
      <c r="AC17" s="189"/>
      <c r="AD17" s="114" t="s">
        <v>70</v>
      </c>
      <c r="AE17" s="99">
        <v>45845</v>
      </c>
      <c r="AF17" s="112">
        <v>0.25</v>
      </c>
      <c r="AG17" s="112">
        <f>SUM(AA17+AF17)</f>
        <v>0.42000000000000004</v>
      </c>
      <c r="AH17" s="114" t="s">
        <v>114</v>
      </c>
      <c r="AI17" s="136"/>
      <c r="AJ17" s="114" t="s">
        <v>72</v>
      </c>
      <c r="AK17" s="129">
        <v>45937</v>
      </c>
      <c r="AL17" s="112">
        <v>0.25</v>
      </c>
      <c r="AM17" s="112">
        <f>SUM(AA17+AF17+AL17)</f>
        <v>0.67</v>
      </c>
      <c r="AN17" s="114" t="s">
        <v>115</v>
      </c>
      <c r="AO17" s="136"/>
      <c r="AP17" s="114" t="s">
        <v>292</v>
      </c>
      <c r="AQ17" s="129">
        <v>46029</v>
      </c>
      <c r="AR17" s="112">
        <v>0.25</v>
      </c>
      <c r="AS17" s="112">
        <f>SUM(AG17+AL17+AR17)</f>
        <v>0.92</v>
      </c>
      <c r="AT17" s="114" t="s">
        <v>301</v>
      </c>
      <c r="AU17" s="136"/>
      <c r="AV17" s="114" t="s">
        <v>303</v>
      </c>
    </row>
    <row r="18" spans="1:48" ht="184.8" x14ac:dyDescent="0.25">
      <c r="A18" s="135"/>
      <c r="B18" s="135"/>
      <c r="C18" s="135"/>
      <c r="D18" s="188"/>
      <c r="E18" s="135"/>
      <c r="F18" s="21" t="s">
        <v>116</v>
      </c>
      <c r="G18" s="135"/>
      <c r="H18" s="135"/>
      <c r="I18" s="156"/>
      <c r="J18" s="135"/>
      <c r="K18" s="135"/>
      <c r="L18" s="139"/>
      <c r="M18" s="111" t="s">
        <v>117</v>
      </c>
      <c r="N18" s="98" t="s">
        <v>61</v>
      </c>
      <c r="O18" s="98" t="s">
        <v>62</v>
      </c>
      <c r="P18" s="135"/>
      <c r="Q18" s="135"/>
      <c r="R18" s="139"/>
      <c r="S18" s="142"/>
      <c r="T18" s="111" t="s">
        <v>117</v>
      </c>
      <c r="U18" s="90" t="s">
        <v>65</v>
      </c>
      <c r="V18" s="91" t="s">
        <v>118</v>
      </c>
      <c r="W18" s="109">
        <v>1</v>
      </c>
      <c r="X18" s="108">
        <v>45659</v>
      </c>
      <c r="Y18" s="110" t="s">
        <v>67</v>
      </c>
      <c r="Z18" s="99">
        <v>45754</v>
      </c>
      <c r="AA18" s="112">
        <v>1</v>
      </c>
      <c r="AB18" s="114" t="s">
        <v>119</v>
      </c>
      <c r="AC18" s="145"/>
      <c r="AD18" s="114" t="s">
        <v>70</v>
      </c>
      <c r="AE18" s="99">
        <v>45845</v>
      </c>
      <c r="AF18" s="113"/>
      <c r="AG18" s="112">
        <v>1</v>
      </c>
      <c r="AH18" s="114" t="s">
        <v>120</v>
      </c>
      <c r="AI18" s="135"/>
      <c r="AJ18" s="114" t="s">
        <v>72</v>
      </c>
      <c r="AK18" s="129">
        <v>45937</v>
      </c>
      <c r="AL18" s="112"/>
      <c r="AM18" s="112">
        <v>1</v>
      </c>
      <c r="AN18" s="114" t="s">
        <v>121</v>
      </c>
      <c r="AO18" s="135"/>
      <c r="AP18" s="114" t="s">
        <v>292</v>
      </c>
      <c r="AQ18" s="129">
        <v>46029</v>
      </c>
      <c r="AR18" s="112"/>
      <c r="AS18" s="112">
        <v>1</v>
      </c>
      <c r="AT18" s="114" t="s">
        <v>307</v>
      </c>
      <c r="AU18" s="135"/>
      <c r="AV18" s="114" t="s">
        <v>302</v>
      </c>
    </row>
    <row r="19" spans="1:48" ht="12" customHeight="1" x14ac:dyDescent="0.25">
      <c r="A19" s="102"/>
      <c r="B19" s="102"/>
      <c r="C19" s="102"/>
      <c r="D19" s="102"/>
      <c r="E19" s="102"/>
      <c r="F19" s="21"/>
      <c r="G19" s="21"/>
      <c r="H19" s="21"/>
      <c r="I19" s="96"/>
      <c r="J19" s="21"/>
      <c r="K19" s="21"/>
      <c r="L19" s="97" t="e">
        <f>VLOOKUP(J19,Anexos!$B$37:$G$43,(HLOOKUP(K19,Anexos!$C$37:$G$38,2,0)),0)</f>
        <v>#N/A</v>
      </c>
      <c r="M19" s="21"/>
      <c r="N19" s="98"/>
      <c r="O19" s="98"/>
      <c r="P19" s="21"/>
      <c r="Q19" s="21"/>
      <c r="R19" s="97" t="e">
        <f>VLOOKUP(P19,Anexos!$B$37:$G$43,(HLOOKUP(Q19,Anexos!$C$37:$G$38,2,0)),0)</f>
        <v>#N/A</v>
      </c>
      <c r="S19" s="101"/>
      <c r="T19" s="21"/>
      <c r="U19" s="21"/>
      <c r="V19" s="21"/>
      <c r="W19" s="21"/>
      <c r="X19" s="98"/>
      <c r="Y19" s="98"/>
      <c r="Z19" s="99"/>
      <c r="AA19" s="100"/>
      <c r="AB19" s="21"/>
      <c r="AC19" s="98"/>
      <c r="AD19" s="21"/>
      <c r="AE19" s="99"/>
      <c r="AF19" s="100"/>
      <c r="AG19" s="100"/>
      <c r="AH19" s="21"/>
      <c r="AI19" s="98"/>
      <c r="AJ19" s="21"/>
      <c r="AK19" s="99"/>
      <c r="AL19" s="100"/>
      <c r="AM19" s="100"/>
      <c r="AN19" s="21"/>
      <c r="AO19" s="98"/>
      <c r="AP19" s="21"/>
      <c r="AQ19" s="99"/>
      <c r="AR19" s="100"/>
      <c r="AS19" s="100"/>
      <c r="AT19" s="21"/>
      <c r="AU19" s="98"/>
      <c r="AV19" s="21"/>
    </row>
    <row r="20" spans="1:48" x14ac:dyDescent="0.25">
      <c r="A20" s="93"/>
      <c r="B20" s="93"/>
      <c r="C20" s="93"/>
      <c r="D20" s="93"/>
      <c r="E20" s="93"/>
      <c r="F20" s="12"/>
      <c r="G20" s="12"/>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row>
  </sheetData>
  <sheetProtection formatCells="0" formatColumns="0" formatRows="0" insertColumns="0" insertRows="0" insertHyperlinks="0" deleteColumns="0" deleteRows="0" sort="0" autoFilter="0" pivotTables="0"/>
  <mergeCells count="78">
    <mergeCell ref="AC15:AC18"/>
    <mergeCell ref="I13:I14"/>
    <mergeCell ref="K13:K14"/>
    <mergeCell ref="L13:L14"/>
    <mergeCell ref="P13:P14"/>
    <mergeCell ref="I15:I18"/>
    <mergeCell ref="J15:J18"/>
    <mergeCell ref="K15:K18"/>
    <mergeCell ref="L15:L18"/>
    <mergeCell ref="P15:P18"/>
    <mergeCell ref="G11:G12"/>
    <mergeCell ref="G13:G14"/>
    <mergeCell ref="G15:G18"/>
    <mergeCell ref="J13:J14"/>
    <mergeCell ref="H13:H14"/>
    <mergeCell ref="H15:H18"/>
    <mergeCell ref="C11:C18"/>
    <mergeCell ref="E11:E12"/>
    <mergeCell ref="E13:E14"/>
    <mergeCell ref="E15:E18"/>
    <mergeCell ref="D11:D12"/>
    <mergeCell ref="D13:D14"/>
    <mergeCell ref="D15:D18"/>
    <mergeCell ref="AQ9:AV9"/>
    <mergeCell ref="S9:S10"/>
    <mergeCell ref="O9:O10"/>
    <mergeCell ref="Z8:AV8"/>
    <mergeCell ref="H9:H10"/>
    <mergeCell ref="Z9:AD9"/>
    <mergeCell ref="J9:L9"/>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M8:Y8"/>
    <mergeCell ref="A9:A10"/>
    <mergeCell ref="T9:Y9"/>
    <mergeCell ref="M9:M10"/>
    <mergeCell ref="AK9:AP9"/>
    <mergeCell ref="H11:H12"/>
    <mergeCell ref="I11:I12"/>
    <mergeCell ref="J11:J12"/>
    <mergeCell ref="K11:K12"/>
    <mergeCell ref="L11:L12"/>
    <mergeCell ref="P11:P12"/>
    <mergeCell ref="Q11:Q12"/>
    <mergeCell ref="R11:R12"/>
    <mergeCell ref="S11:S12"/>
    <mergeCell ref="AC11:AC12"/>
    <mergeCell ref="A11:A18"/>
    <mergeCell ref="B11:B18"/>
    <mergeCell ref="AU11:AU12"/>
    <mergeCell ref="AU13:AU14"/>
    <mergeCell ref="AU15:AU18"/>
    <mergeCell ref="Q15:Q18"/>
    <mergeCell ref="R15:R18"/>
    <mergeCell ref="S15:S18"/>
    <mergeCell ref="Q13:Q14"/>
    <mergeCell ref="R13:R14"/>
    <mergeCell ref="AO11:AO12"/>
    <mergeCell ref="AO13:AO14"/>
    <mergeCell ref="AO15:AO18"/>
    <mergeCell ref="S13:S14"/>
    <mergeCell ref="AI11:AI12"/>
    <mergeCell ref="AI13:AI14"/>
    <mergeCell ref="AI15:AI18"/>
    <mergeCell ref="AC13:AC14"/>
  </mergeCells>
  <phoneticPr fontId="5" type="noConversion"/>
  <conditionalFormatting sqref="L11 R11 L13 R13 L15 R15 L19 R19">
    <cfRule type="containsText" dxfId="4" priority="11" operator="containsText" text="Bajo">
      <formula>NOT(ISERROR(SEARCH("Bajo",L11)))</formula>
    </cfRule>
    <cfRule type="containsText" dxfId="3" priority="12" operator="containsText" text="Moderado">
      <formula>NOT(ISERROR(SEARCH("Moderado",L11)))</formula>
    </cfRule>
    <cfRule type="containsText" dxfId="2" priority="13" operator="containsText" text="Alto">
      <formula>NOT(ISERROR(SEARCH("Alto",L11)))</formula>
    </cfRule>
    <cfRule type="containsText" dxfId="1" priority="14" operator="containsText" text="Extremo">
      <formula>NOT(ISERROR(SEARCH("Extremo",L11)))</formula>
    </cfRule>
  </conditionalFormatting>
  <dataValidations xWindow="51" yWindow="420" count="32">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C000000}"/>
    <dataValidation allowBlank="1" showInputMessage="1" showErrorMessage="1" promptTitle="Despues de evaluar el control," prompt="seleccione de la lista desplegable la probabilidad residual, resultante en la columna &quot;U&quot; de la hoja 2. Evaluación de controles." sqref="P10" xr:uid="{00000000-0002-0000-0000-00000D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11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12000000}"/>
    <dataValidation allowBlank="1" showInputMessage="1" showErrorMessage="1" prompt="Registre el resultado que se pretende alcanzar, considerando el indicador o criterio de medición definido." sqref="W10" xr:uid="{00000000-0002-0000-0000-000013000000}"/>
    <dataValidation allowBlank="1" showInputMessage="1" showErrorMessage="1" prompt="En el formato DD/MM/AAAA, registre la fecha de terminación de la actividad a desarrollar. Esta fecha no podrá superar el 31 de diciembre de cada vigencia." sqref="Y10" xr:uid="{00000000-0002-0000-0000-000014000000}"/>
    <dataValidation allowBlank="1" showInputMessage="1" showErrorMessage="1" prompt="Registre la fecha de realización del monitoreo, DD/MM/AAA." sqref="AQ10 AE10 AK10 Z10" xr:uid="{00000000-0002-0000-0000-000017000000}"/>
    <dataValidation allowBlank="1" showInputMessage="1" showErrorMessage="1" prompt="En el formato DD/MM/AAAA, registre la fecha de inicio de la actividad a desarrollar, dentro de la vigencia." sqref="X10" xr:uid="{00000000-0002-0000-0000-000019000000}"/>
    <dataValidation allowBlank="1" showInputMessage="1" showErrorMessage="1" prompt="Registre la formula o criterio con el cual se calculará el avance porcentual en el cumplimiento de la actividad en cada periodo de monitoreo. El resultado de esta formula será el que se registre en las columnas de avance en cada periodo de monitoreo." sqref="V10" xr:uid="{00000000-0002-0000-0000-00001A000000}"/>
    <dataValidation allowBlank="1" showInputMessage="1" showErrorMessage="1" prompt="Seleccione de la lista desplegable, la decisión tomada respecto al riesgo, teniendo en cuenta lo establecido en el Lineamiento Administración de Riesgos (LIN-SG-001)." sqref="S9:S10" xr:uid="{B060B3EE-86AD-47F8-8FEB-461380F13AE0}"/>
    <dataValidation allowBlank="1" showInputMessage="1" showErrorMessage="1" prompt="Describa los avances en el cumplimiento de la actividad definida y relacione las evidencias que los soportan." sqref="AB10 AH10 AN10 AT10" xr:uid="{66F7A9C8-E99E-412D-AB11-8204904B02D0}"/>
    <dataValidation allowBlank="1" showInputMessage="1" showErrorMessage="1" prompt="Seleccione de la lista desplegable la categoria que corresponda." sqref="A6:B6" xr:uid="{C240644F-9930-4EAA-B0AA-E8DE5A71EE92}"/>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M15 T15" xr:uid="{214BD1B6-B79A-4EAD-B694-5A60E2AD757B}"/>
    <dataValidation allowBlank="1" showInputMessage="1" showErrorMessage="1" prompt="Describa, tal como se encuentra en la caracterización del proceso, la actividad donde existe evidencia o se tienen indicios de que pueden ocurrir eventos de riesgo." sqref="C9:C10" xr:uid="{09E2F470-F99B-4561-AB6B-66D758A56480}"/>
    <dataValidation allowBlank="1" showInputMessage="1" showErrorMessage="1" prompt="Seleccione de la lista desplegable la forma como se ejecuta el control, dependiendo de que sea ejecutado por una persona (manual) o por un sistema (automático)." sqref="O9:O10" xr:uid="{35816047-32C6-460E-BDDC-C05CBEC3A6FF}"/>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2A215BA9-A82B-41B6-A8F2-51725200EAD4}"/>
    <dataValidation allowBlank="1" showInputMessage="1" showErrorMessage="1" prompt="Seleccione de la lista desplegable el impacto estimado teniendo en cuenta que se refiere a la magnitud de los efectos en caso de materializarse el riesgo. Ver hoja anexos tabla 3. Recuerde que este impacto solamente se disminuye con controles correctivos." sqref="Q10" xr:uid="{3FECB3A3-4806-4C50-BDE6-79A5DF964D17}"/>
    <dataValidation allowBlank="1" showInputMessage="1" showErrorMessage="1" prompt="Para diligenciar este campo, dirijase primero a la hoja &quot;2. Evaluación de controles&quot;, y realice la evaluación de cada actividad de control." sqref="P9:R9" xr:uid="{D11C694E-5729-419E-B0CE-0298F8BD8BAB}"/>
    <dataValidation allowBlank="1" showInputMessage="1" showErrorMessage="1" prompt="Registre el nivel de avance en el cumplimiento de la actividad. Corresponde al resultado en términos porcentuales del indicador o criterio de avance definido." sqref="AA10 AF10 AL10 AR10" xr:uid="{1E48E95D-4DB5-4533-A601-0A71684D69AC}"/>
    <dataValidation allowBlank="1" showInputMessage="1" showErrorMessage="1" prompt="Seleccione de la lista desplegable si durante el periodo se ha materializado el riesgo. En caso de materialización se debe diligenciar y remitir el Formato Plan de restablecimiento (FOR-SG-015)." sqref="AC10 AI10 AO10 AU10" xr:uid="{75698544-7386-4345-9052-3AC50EB70AA0}"/>
    <dataValidation allowBlank="1" showInputMessage="1" showErrorMessage="1" prompt="Registre la fecha y las observaciones o resultados de la revisión al monitoreo reportado por la primera línea de defensa. Se diligencia por parte de la segunda línea de defensa al recibir el reporte del monitoreo." sqref="AD10 AJ10 AP10 AV10" xr:uid="{57DB7D52-AD5E-4C9D-AF50-62E0AB0F9B46}"/>
  </dataValidations>
  <pageMargins left="0.35433070866141736" right="0.35433070866141736" top="0.98425196850393704" bottom="0.98425196850393704" header="0" footer="0"/>
  <pageSetup scale="28"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51" yWindow="420" count="9">
        <x14:dataValidation type="list" allowBlank="1" showInputMessage="1" showErrorMessage="1" xr:uid="{52C22EC8-4CBD-46DA-8ADB-262E01633560}">
          <x14:formula1>
            <xm:f>Anexos!$I$7:$I$9</xm:f>
          </x14:formula1>
          <xm:sqref>C6</xm:sqref>
        </x14:dataValidation>
        <x14:dataValidation type="list" allowBlank="1" showInputMessage="1" showErrorMessage="1" xr:uid="{00000000-0002-0000-0000-00001D000000}">
          <x14:formula1>
            <xm:f>Anexos!$I$39:$I$43</xm:f>
          </x14:formula1>
          <xm:sqref>J19 J11 P11 J13 P13 J15 P15 P19</xm:sqref>
        </x14:dataValidation>
        <x14:dataValidation type="list" allowBlank="1" showInputMessage="1" showErrorMessage="1" xr:uid="{00000000-0002-0000-0000-00001E000000}">
          <x14:formula1>
            <xm:f>Anexos!$J$39:$J$43</xm:f>
          </x14:formula1>
          <xm:sqref>K19 K11 Q11 K13 Q13 K15 Q15 Q19</xm:sqref>
        </x14:dataValidation>
        <x14:dataValidation type="list" allowBlank="1" showInputMessage="1" showErrorMessage="1" xr:uid="{00000000-0002-0000-0000-00001F000000}">
          <x14:formula1>
            <xm:f>Anexos!$I$48:$I$49</xm:f>
          </x14:formula1>
          <xm:sqref>N11:N19</xm:sqref>
        </x14:dataValidation>
        <x14:dataValidation type="list" allowBlank="1" showInputMessage="1" showErrorMessage="1" xr:uid="{00000000-0002-0000-0000-000020000000}">
          <x14:formula1>
            <xm:f>Anexos!$J$48:$J$49</xm:f>
          </x14:formula1>
          <xm:sqref>AI19 AC19 AO19 AC11 AC13 AC15 AI11 AI13 AI15 AO11 AO13 AO15 AU19</xm:sqref>
        </x14:dataValidation>
        <x14:dataValidation type="list" allowBlank="1" showInputMessage="1" showErrorMessage="1" xr:uid="{39B31DBC-43BB-437A-8619-6B3FDF42A962}">
          <x14:formula1>
            <xm:f>Anexos!$I$11:$I$13</xm:f>
          </x14:formula1>
          <xm:sqref>H11 H19 H13 H15</xm:sqref>
        </x14:dataValidation>
        <x14:dataValidation type="list" allowBlank="1" showInputMessage="1" showErrorMessage="1" xr:uid="{19175752-985C-4FF8-BB18-1950F6E16C57}">
          <x14:formula1>
            <xm:f>Anexos!$K$48:$K$49</xm:f>
          </x14:formula1>
          <xm:sqref>O11:O19</xm:sqref>
        </x14:dataValidation>
        <x14:dataValidation type="list" allowBlank="1" showInputMessage="1" showErrorMessage="1" xr:uid="{6F393E32-B464-4AAC-ACC9-D7DC1B247C81}">
          <x14:formula1>
            <xm:f>Anexos!$J$52:$J$54</xm:f>
          </x14:formula1>
          <xm:sqref>S11 S13 S15 S19</xm:sqref>
        </x14:dataValidation>
        <x14:dataValidation type="list" allowBlank="1" showInputMessage="1" showErrorMessage="1" xr:uid="{EB00BF71-38BB-4504-87C8-16CF5C21FFE3}">
          <x14:formula1>
            <xm:f>Anexos!$B$7:$B$18</xm:f>
          </x14:formula1>
          <xm:sqref>I11 I19 I13 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A9BFC-FC1B-4E60-B77A-C75EB2432980}">
  <sheetPr>
    <pageSetUpPr fitToPage="1"/>
  </sheetPr>
  <dimension ref="A1:W107"/>
  <sheetViews>
    <sheetView zoomScaleNormal="100" zoomScaleSheetLayoutView="70" zoomScalePageLayoutView="25" workbookViewId="0">
      <selection activeCell="B2" sqref="B2:C5"/>
    </sheetView>
  </sheetViews>
  <sheetFormatPr baseColWidth="10" defaultColWidth="2.88671875" defaultRowHeight="13.2" x14ac:dyDescent="0.25"/>
  <cols>
    <col min="1" max="1" width="1.109375" style="40" customWidth="1"/>
    <col min="2" max="2" width="11.6640625" style="44" customWidth="1"/>
    <col min="3" max="3" width="35.33203125" style="44" customWidth="1"/>
    <col min="4" max="4" width="10.88671875" style="41" bestFit="1" customWidth="1"/>
    <col min="5" max="5" width="8.109375" style="41" customWidth="1"/>
    <col min="6" max="6" width="25.6640625" style="41" customWidth="1"/>
    <col min="7" max="7" width="73.6640625" style="42" customWidth="1"/>
    <col min="8" max="8" width="14" style="43" customWidth="1"/>
    <col min="9" max="9" width="5.88671875" style="43" bestFit="1" customWidth="1"/>
    <col min="10" max="10" width="14.109375" style="42" customWidth="1"/>
    <col min="11" max="11" width="5.88671875" style="42" bestFit="1" customWidth="1"/>
    <col min="12" max="12" width="14" style="42" customWidth="1"/>
    <col min="13" max="13" width="13.33203125" style="41" bestFit="1" customWidth="1"/>
    <col min="14" max="14" width="13.6640625" style="41" customWidth="1"/>
    <col min="15" max="15" width="11.6640625" style="41" customWidth="1"/>
    <col min="16" max="16" width="11.109375" style="40" customWidth="1"/>
    <col min="17" max="17" width="15.33203125" style="40" customWidth="1"/>
    <col min="18" max="18" width="12.5546875" style="40" customWidth="1"/>
    <col min="19" max="19" width="16.6640625" style="40" customWidth="1"/>
    <col min="20" max="20" width="14.44140625" style="40" customWidth="1"/>
    <col min="21" max="21" width="14.6640625" style="40" customWidth="1"/>
    <col min="22" max="22" width="30.77734375" style="40" customWidth="1"/>
    <col min="23" max="23" width="40.77734375" style="40" customWidth="1"/>
    <col min="24" max="16384" width="2.88671875" style="40"/>
  </cols>
  <sheetData>
    <row r="1" spans="1:23" ht="5.25" customHeight="1" x14ac:dyDescent="0.25"/>
    <row r="2" spans="1:23" ht="19.5" customHeight="1" x14ac:dyDescent="0.25">
      <c r="B2" s="249"/>
      <c r="C2" s="250"/>
      <c r="D2" s="240" t="s">
        <v>0</v>
      </c>
      <c r="E2" s="241"/>
      <c r="F2" s="241"/>
      <c r="G2" s="241"/>
      <c r="H2" s="241"/>
      <c r="I2" s="241"/>
      <c r="J2" s="241"/>
      <c r="K2" s="241"/>
      <c r="L2" s="241"/>
      <c r="M2" s="241"/>
      <c r="N2" s="241"/>
      <c r="O2" s="241"/>
      <c r="P2" s="241"/>
      <c r="Q2" s="241"/>
      <c r="R2" s="241"/>
      <c r="S2" s="241"/>
      <c r="T2" s="241"/>
      <c r="U2" s="242"/>
      <c r="V2" s="80" t="s">
        <v>1</v>
      </c>
      <c r="W2" s="80" t="s">
        <v>2</v>
      </c>
    </row>
    <row r="3" spans="1:23" ht="19.5" customHeight="1" x14ac:dyDescent="0.25">
      <c r="B3" s="251"/>
      <c r="C3" s="252"/>
      <c r="D3" s="243"/>
      <c r="E3" s="244"/>
      <c r="F3" s="244"/>
      <c r="G3" s="244"/>
      <c r="H3" s="244"/>
      <c r="I3" s="244"/>
      <c r="J3" s="244"/>
      <c r="K3" s="244"/>
      <c r="L3" s="244"/>
      <c r="M3" s="244"/>
      <c r="N3" s="244"/>
      <c r="O3" s="244"/>
      <c r="P3" s="244"/>
      <c r="Q3" s="244"/>
      <c r="R3" s="244"/>
      <c r="S3" s="244"/>
      <c r="T3" s="244"/>
      <c r="U3" s="245"/>
      <c r="V3" s="80" t="s">
        <v>3</v>
      </c>
      <c r="W3" s="80">
        <v>4</v>
      </c>
    </row>
    <row r="4" spans="1:23" ht="19.5" customHeight="1" x14ac:dyDescent="0.25">
      <c r="B4" s="251"/>
      <c r="C4" s="252"/>
      <c r="D4" s="243"/>
      <c r="E4" s="244"/>
      <c r="F4" s="244"/>
      <c r="G4" s="244"/>
      <c r="H4" s="244"/>
      <c r="I4" s="244"/>
      <c r="J4" s="244"/>
      <c r="K4" s="244"/>
      <c r="L4" s="244"/>
      <c r="M4" s="244"/>
      <c r="N4" s="244"/>
      <c r="O4" s="244"/>
      <c r="P4" s="244"/>
      <c r="Q4" s="244"/>
      <c r="R4" s="244"/>
      <c r="S4" s="244"/>
      <c r="T4" s="244"/>
      <c r="U4" s="245"/>
      <c r="V4" s="80" t="s">
        <v>4</v>
      </c>
      <c r="W4" s="80" t="s">
        <v>5</v>
      </c>
    </row>
    <row r="5" spans="1:23" ht="19.5" customHeight="1" x14ac:dyDescent="0.25">
      <c r="B5" s="253"/>
      <c r="C5" s="254"/>
      <c r="D5" s="246"/>
      <c r="E5" s="247"/>
      <c r="F5" s="247"/>
      <c r="G5" s="247"/>
      <c r="H5" s="247"/>
      <c r="I5" s="247"/>
      <c r="J5" s="247"/>
      <c r="K5" s="247"/>
      <c r="L5" s="247"/>
      <c r="M5" s="247"/>
      <c r="N5" s="247"/>
      <c r="O5" s="247"/>
      <c r="P5" s="247"/>
      <c r="Q5" s="247"/>
      <c r="R5" s="247"/>
      <c r="S5" s="247"/>
      <c r="T5" s="247"/>
      <c r="U5" s="248"/>
      <c r="V5" s="80" t="s">
        <v>6</v>
      </c>
      <c r="W5" s="80" t="s">
        <v>122</v>
      </c>
    </row>
    <row r="6" spans="1:23" ht="12" customHeight="1" x14ac:dyDescent="0.25">
      <c r="B6" s="40"/>
      <c r="C6" s="40"/>
      <c r="D6" s="79"/>
      <c r="E6" s="79"/>
      <c r="F6" s="79"/>
      <c r="G6" s="79"/>
      <c r="H6" s="79"/>
      <c r="I6" s="79"/>
      <c r="J6" s="79"/>
      <c r="K6" s="79"/>
      <c r="L6" s="79"/>
      <c r="W6" s="85" t="s">
        <v>8</v>
      </c>
    </row>
    <row r="7" spans="1:23" ht="20.25" customHeight="1" x14ac:dyDescent="0.25">
      <c r="B7" s="233" t="s">
        <v>123</v>
      </c>
      <c r="C7" s="233"/>
      <c r="D7" s="233"/>
      <c r="E7" s="233"/>
      <c r="F7" s="233"/>
      <c r="G7" s="233"/>
      <c r="H7" s="233"/>
      <c r="I7" s="233"/>
      <c r="J7" s="233"/>
      <c r="K7" s="233"/>
      <c r="L7" s="233"/>
      <c r="M7" s="233"/>
      <c r="N7" s="233"/>
      <c r="O7" s="233"/>
      <c r="P7" s="233"/>
      <c r="Q7" s="233"/>
      <c r="R7" s="233"/>
      <c r="S7" s="233"/>
      <c r="T7" s="233"/>
      <c r="U7" s="233"/>
      <c r="V7" s="233"/>
      <c r="W7" s="233"/>
    </row>
    <row r="8" spans="1:23" x14ac:dyDescent="0.25">
      <c r="B8" s="73"/>
      <c r="C8" s="73"/>
      <c r="D8" s="78"/>
      <c r="E8" s="72"/>
      <c r="F8" s="72"/>
      <c r="L8" s="76"/>
    </row>
    <row r="9" spans="1:23" ht="15" customHeight="1" x14ac:dyDescent="0.25">
      <c r="A9" s="47"/>
      <c r="B9" s="192" t="s">
        <v>124</v>
      </c>
      <c r="C9" s="193"/>
      <c r="D9" s="223">
        <v>45720</v>
      </c>
      <c r="E9" s="224"/>
      <c r="F9" s="74" t="s">
        <v>125</v>
      </c>
      <c r="G9" s="194" t="s">
        <v>49</v>
      </c>
      <c r="H9" s="196"/>
      <c r="I9" s="77"/>
      <c r="J9" s="192" t="s">
        <v>126</v>
      </c>
      <c r="K9" s="192"/>
      <c r="L9" s="192"/>
      <c r="M9" s="193"/>
      <c r="N9" s="224" t="s">
        <v>127</v>
      </c>
      <c r="O9" s="224"/>
      <c r="P9" s="224"/>
      <c r="Q9" s="224"/>
      <c r="R9" s="224"/>
      <c r="T9" s="43"/>
      <c r="U9" s="43"/>
    </row>
    <row r="10" spans="1:23" x14ac:dyDescent="0.25">
      <c r="B10" s="73"/>
      <c r="C10" s="73"/>
      <c r="D10" s="72"/>
      <c r="E10" s="72"/>
      <c r="F10" s="72"/>
      <c r="L10" s="76"/>
    </row>
    <row r="11" spans="1:23" s="68" customFormat="1" ht="28.5" customHeight="1" x14ac:dyDescent="0.25">
      <c r="B11" s="209" t="s">
        <v>128</v>
      </c>
      <c r="C11" s="209" t="s">
        <v>129</v>
      </c>
      <c r="D11" s="209" t="s">
        <v>130</v>
      </c>
      <c r="E11" s="209"/>
      <c r="F11" s="237" t="s">
        <v>131</v>
      </c>
      <c r="G11" s="209" t="s">
        <v>132</v>
      </c>
      <c r="H11" s="214" t="s">
        <v>133</v>
      </c>
      <c r="I11" s="215"/>
      <c r="J11" s="215"/>
      <c r="K11" s="215"/>
      <c r="L11" s="215"/>
      <c r="M11" s="215"/>
      <c r="N11" s="215"/>
      <c r="O11" s="215"/>
      <c r="P11" s="216"/>
      <c r="Q11" s="220" t="s">
        <v>134</v>
      </c>
      <c r="R11" s="220"/>
      <c r="S11" s="220"/>
      <c r="T11" s="220"/>
      <c r="U11" s="235" t="s">
        <v>135</v>
      </c>
    </row>
    <row r="12" spans="1:23" s="68" customFormat="1" ht="21.75" customHeight="1" x14ac:dyDescent="0.25">
      <c r="B12" s="209"/>
      <c r="C12" s="209"/>
      <c r="D12" s="209"/>
      <c r="E12" s="209"/>
      <c r="F12" s="238"/>
      <c r="G12" s="209"/>
      <c r="H12" s="214" t="s">
        <v>136</v>
      </c>
      <c r="I12" s="215"/>
      <c r="J12" s="215"/>
      <c r="K12" s="216"/>
      <c r="L12" s="214" t="s">
        <v>137</v>
      </c>
      <c r="M12" s="215"/>
      <c r="N12" s="215"/>
      <c r="O12" s="215"/>
      <c r="P12" s="216"/>
      <c r="Q12" s="217" t="s">
        <v>138</v>
      </c>
      <c r="R12" s="217" t="s">
        <v>139</v>
      </c>
      <c r="S12" s="217" t="s">
        <v>140</v>
      </c>
      <c r="T12" s="231" t="s">
        <v>141</v>
      </c>
      <c r="U12" s="235" t="s">
        <v>142</v>
      </c>
    </row>
    <row r="13" spans="1:23" s="68" customFormat="1" ht="66" x14ac:dyDescent="0.25">
      <c r="B13" s="209"/>
      <c r="C13" s="209"/>
      <c r="D13" s="70" t="s">
        <v>143</v>
      </c>
      <c r="E13" s="70" t="s">
        <v>36</v>
      </c>
      <c r="F13" s="239"/>
      <c r="G13" s="209"/>
      <c r="H13" s="70" t="s">
        <v>144</v>
      </c>
      <c r="I13" s="70" t="s">
        <v>145</v>
      </c>
      <c r="J13" s="70" t="s">
        <v>146</v>
      </c>
      <c r="K13" s="70" t="s">
        <v>145</v>
      </c>
      <c r="L13" s="70" t="s">
        <v>147</v>
      </c>
      <c r="M13" s="71" t="s">
        <v>38</v>
      </c>
      <c r="N13" s="71" t="s">
        <v>148</v>
      </c>
      <c r="O13" s="71" t="s">
        <v>149</v>
      </c>
      <c r="P13" s="70" t="s">
        <v>150</v>
      </c>
      <c r="Q13" s="218"/>
      <c r="R13" s="218"/>
      <c r="S13" s="218"/>
      <c r="T13" s="232"/>
      <c r="U13" s="235"/>
    </row>
    <row r="14" spans="1:23" s="61" customFormat="1" ht="145.19999999999999" x14ac:dyDescent="0.25">
      <c r="B14" s="225" t="s">
        <v>53</v>
      </c>
      <c r="C14" s="225" t="s">
        <v>55</v>
      </c>
      <c r="D14" s="197" t="s">
        <v>151</v>
      </c>
      <c r="E14" s="200">
        <f>VLOOKUP(D14,Criterios!$A$20:$B$24,2,FALSE)</f>
        <v>0.4</v>
      </c>
      <c r="F14" s="229" t="s">
        <v>54</v>
      </c>
      <c r="G14" s="66" t="s">
        <v>60</v>
      </c>
      <c r="H14" s="64" t="s">
        <v>152</v>
      </c>
      <c r="I14" s="65">
        <f>VLOOKUP(H14,Criterios!$B$3:$C$6,2,FALSE)</f>
        <v>0.25</v>
      </c>
      <c r="J14" s="64" t="s">
        <v>62</v>
      </c>
      <c r="K14" s="65">
        <f>VLOOKUP(J14,Criterios!$B$7:$C$9,2,FALSE)</f>
        <v>0.15</v>
      </c>
      <c r="L14" s="64" t="s">
        <v>153</v>
      </c>
      <c r="M14" s="64" t="s">
        <v>154</v>
      </c>
      <c r="N14" s="64" t="s">
        <v>155</v>
      </c>
      <c r="O14" s="64" t="s">
        <v>156</v>
      </c>
      <c r="P14" s="64" t="s">
        <v>157</v>
      </c>
      <c r="Q14" s="63">
        <f t="shared" ref="Q14:Q45" si="0">+I14+K14</f>
        <v>0.4</v>
      </c>
      <c r="R14" s="63">
        <f>(E14-(E14*Q14))</f>
        <v>0.24</v>
      </c>
      <c r="S14" s="228">
        <f>IF(R15&gt;1%,R15,R14)</f>
        <v>0.24</v>
      </c>
      <c r="T14" s="203">
        <f>IF(S18&gt;1%,S18,(IF(S16&gt;1%,S16,S14)))</f>
        <v>0.14399999999999999</v>
      </c>
      <c r="U14" s="206" t="str">
        <f>IF(T14&lt;=20%,Criterios!$A$20,IF(T14&lt;=40%,Criterios!$A$21,IF(T14&lt;=60%,Criterios!$A$22,IF(T14&lt;=80,Criterios!$A$23,Criterios!$A$24))))</f>
        <v>Muy baja</v>
      </c>
    </row>
    <row r="15" spans="1:23" s="61" customFormat="1" ht="14.4" x14ac:dyDescent="0.25">
      <c r="B15" s="226"/>
      <c r="C15" s="226"/>
      <c r="D15" s="198"/>
      <c r="E15" s="201"/>
      <c r="F15" s="230"/>
      <c r="G15" s="60" t="s">
        <v>158</v>
      </c>
      <c r="H15" s="58" t="s">
        <v>159</v>
      </c>
      <c r="I15" s="59">
        <f>VLOOKUP(H15,Criterios!$B$3:$C$6,2,FALSE)</f>
        <v>0</v>
      </c>
      <c r="J15" s="58" t="s">
        <v>159</v>
      </c>
      <c r="K15" s="59">
        <f>VLOOKUP(J15,Criterios!$B$7:$C$9,2,FALSE)</f>
        <v>0</v>
      </c>
      <c r="L15" s="58"/>
      <c r="M15" s="58"/>
      <c r="N15" s="58"/>
      <c r="O15" s="58"/>
      <c r="P15" s="58"/>
      <c r="Q15" s="57">
        <f t="shared" si="0"/>
        <v>0</v>
      </c>
      <c r="R15" s="57">
        <f>(R14-(R14*Q15))</f>
        <v>0.24</v>
      </c>
      <c r="S15" s="219"/>
      <c r="T15" s="204"/>
      <c r="U15" s="207"/>
    </row>
    <row r="16" spans="1:23" s="61" customFormat="1" ht="132" x14ac:dyDescent="0.25">
      <c r="B16" s="226"/>
      <c r="C16" s="226"/>
      <c r="D16" s="198"/>
      <c r="E16" s="201"/>
      <c r="F16" s="230" t="s">
        <v>73</v>
      </c>
      <c r="G16" s="60" t="s">
        <v>160</v>
      </c>
      <c r="H16" s="58" t="s">
        <v>152</v>
      </c>
      <c r="I16" s="59">
        <f>VLOOKUP(H16,Criterios!$B$3:$C$6,2,FALSE)</f>
        <v>0.25</v>
      </c>
      <c r="J16" s="58" t="s">
        <v>62</v>
      </c>
      <c r="K16" s="59">
        <f>VLOOKUP(J16,Criterios!$B$7:$C$9,2,FALSE)</f>
        <v>0.15</v>
      </c>
      <c r="L16" s="58" t="s">
        <v>153</v>
      </c>
      <c r="M16" s="58" t="s">
        <v>154</v>
      </c>
      <c r="N16" s="58" t="s">
        <v>155</v>
      </c>
      <c r="O16" s="58" t="s">
        <v>156</v>
      </c>
      <c r="P16" s="58" t="s">
        <v>157</v>
      </c>
      <c r="Q16" s="57">
        <f t="shared" si="0"/>
        <v>0.4</v>
      </c>
      <c r="R16" s="57">
        <f>IF(Q16&gt;1%,(R15-(R15*Q16)),Q16)</f>
        <v>0.14399999999999999</v>
      </c>
      <c r="S16" s="219">
        <f>IF(R17&gt;1%,R17,R16)</f>
        <v>0.14399999999999999</v>
      </c>
      <c r="T16" s="204"/>
      <c r="U16" s="207"/>
    </row>
    <row r="17" spans="2:21" s="61" customFormat="1" ht="14.4" x14ac:dyDescent="0.25">
      <c r="B17" s="226"/>
      <c r="C17" s="226"/>
      <c r="D17" s="198"/>
      <c r="E17" s="201"/>
      <c r="F17" s="230"/>
      <c r="G17" s="60" t="s">
        <v>158</v>
      </c>
      <c r="H17" s="58" t="s">
        <v>159</v>
      </c>
      <c r="I17" s="59">
        <f>VLOOKUP(H17,Criterios!$B$3:$C$6,2,FALSE)</f>
        <v>0</v>
      </c>
      <c r="J17" s="58" t="s">
        <v>159</v>
      </c>
      <c r="K17" s="59">
        <f>VLOOKUP(J17,Criterios!$B$7:$C$9,2,FALSE)</f>
        <v>0</v>
      </c>
      <c r="L17" s="58"/>
      <c r="M17" s="58"/>
      <c r="N17" s="58"/>
      <c r="O17" s="58"/>
      <c r="P17" s="58"/>
      <c r="Q17" s="57">
        <f t="shared" si="0"/>
        <v>0</v>
      </c>
      <c r="R17" s="57">
        <f>(R16-(R16*Q17))</f>
        <v>0.14399999999999999</v>
      </c>
      <c r="S17" s="219"/>
      <c r="T17" s="204"/>
      <c r="U17" s="207"/>
    </row>
    <row r="18" spans="2:21" s="61" customFormat="1" ht="14.4" x14ac:dyDescent="0.25">
      <c r="B18" s="226"/>
      <c r="C18" s="226"/>
      <c r="D18" s="198"/>
      <c r="E18" s="201"/>
      <c r="F18" s="221" t="s">
        <v>161</v>
      </c>
      <c r="G18" s="56" t="s">
        <v>162</v>
      </c>
      <c r="H18" s="58" t="s">
        <v>159</v>
      </c>
      <c r="I18" s="55">
        <f>VLOOKUP(H18,Criterios!$B$3:$C$6,2,FALSE)</f>
        <v>0</v>
      </c>
      <c r="J18" s="58" t="s">
        <v>159</v>
      </c>
      <c r="K18" s="55">
        <f>VLOOKUP(J18,Criterios!$B$7:$C$9,2,FALSE)</f>
        <v>0</v>
      </c>
      <c r="L18" s="54"/>
      <c r="M18" s="54"/>
      <c r="N18" s="54"/>
      <c r="O18" s="54"/>
      <c r="P18" s="54"/>
      <c r="Q18" s="53">
        <f t="shared" si="0"/>
        <v>0</v>
      </c>
      <c r="R18" s="53">
        <f>IF(Q18&gt;1%,(R17-(R17*Q18)),Q18)</f>
        <v>0</v>
      </c>
      <c r="S18" s="212">
        <f>IF(R19&gt;1%,R19,R18)</f>
        <v>0</v>
      </c>
      <c r="T18" s="204"/>
      <c r="U18" s="207"/>
    </row>
    <row r="19" spans="2:21" s="61" customFormat="1" ht="14.4" x14ac:dyDescent="0.25">
      <c r="B19" s="227"/>
      <c r="C19" s="227"/>
      <c r="D19" s="199"/>
      <c r="E19" s="202"/>
      <c r="F19" s="222"/>
      <c r="G19" s="52" t="s">
        <v>158</v>
      </c>
      <c r="H19" s="50" t="s">
        <v>159</v>
      </c>
      <c r="I19" s="51">
        <f>VLOOKUP(H19,Criterios!$B$3:$C$6,2,FALSE)</f>
        <v>0</v>
      </c>
      <c r="J19" s="50" t="s">
        <v>159</v>
      </c>
      <c r="K19" s="51">
        <f>VLOOKUP(J19,Criterios!$B$7:$C$9,2,FALSE)</f>
        <v>0</v>
      </c>
      <c r="L19" s="50"/>
      <c r="M19" s="50"/>
      <c r="N19" s="50"/>
      <c r="O19" s="50"/>
      <c r="P19" s="50"/>
      <c r="Q19" s="49">
        <f t="shared" si="0"/>
        <v>0</v>
      </c>
      <c r="R19" s="49">
        <f>IF(Q19&gt;1%,(R18-(R18*Q19)),Q19)</f>
        <v>0</v>
      </c>
      <c r="S19" s="213"/>
      <c r="T19" s="205"/>
      <c r="U19" s="208"/>
    </row>
    <row r="20" spans="2:21" s="61" customFormat="1" ht="132" x14ac:dyDescent="0.25">
      <c r="B20" s="225" t="s">
        <v>78</v>
      </c>
      <c r="C20" s="225" t="s">
        <v>80</v>
      </c>
      <c r="D20" s="197" t="s">
        <v>163</v>
      </c>
      <c r="E20" s="200">
        <f>VLOOKUP(D20,Criterios!$A$20:$B$24,2,FALSE)</f>
        <v>0.2</v>
      </c>
      <c r="F20" s="229" t="s">
        <v>79</v>
      </c>
      <c r="G20" s="66" t="s">
        <v>164</v>
      </c>
      <c r="H20" s="64" t="s">
        <v>152</v>
      </c>
      <c r="I20" s="65">
        <f>VLOOKUP(H20,Criterios!$B$3:$C$6,2,FALSE)</f>
        <v>0.25</v>
      </c>
      <c r="J20" s="64" t="s">
        <v>62</v>
      </c>
      <c r="K20" s="65">
        <f>VLOOKUP(J20,Criterios!$B$7:$C$9,2,FALSE)</f>
        <v>0.15</v>
      </c>
      <c r="L20" s="64" t="s">
        <v>153</v>
      </c>
      <c r="M20" s="64" t="s">
        <v>154</v>
      </c>
      <c r="N20" s="64" t="s">
        <v>155</v>
      </c>
      <c r="O20" s="64" t="s">
        <v>156</v>
      </c>
      <c r="P20" s="64" t="s">
        <v>157</v>
      </c>
      <c r="Q20" s="63">
        <f t="shared" si="0"/>
        <v>0.4</v>
      </c>
      <c r="R20" s="63">
        <f>(E20-(E20*Q20))</f>
        <v>0.12</v>
      </c>
      <c r="S20" s="228">
        <f>IF(R21&gt;1%,R21,R20)</f>
        <v>0.12</v>
      </c>
      <c r="T20" s="203">
        <f>IF(S24&gt;1%,S24,(IF(S22&gt;1%,S22,S20)))</f>
        <v>7.1999999999999995E-2</v>
      </c>
      <c r="U20" s="206" t="str">
        <f>IF(T20&lt;=20%,Criterios!$A$20,IF(T20&lt;=40%,Criterios!$A$21,IF(T20&lt;=60%,Criterios!$A$22,IF(T20&lt;=80,Criterios!$A$23,Criterios!$A$24))))</f>
        <v>Muy baja</v>
      </c>
    </row>
    <row r="21" spans="2:21" s="61" customFormat="1" ht="14.4" x14ac:dyDescent="0.25">
      <c r="B21" s="226"/>
      <c r="C21" s="226"/>
      <c r="D21" s="198"/>
      <c r="E21" s="201"/>
      <c r="F21" s="230"/>
      <c r="G21" s="60" t="s">
        <v>158</v>
      </c>
      <c r="H21" s="58" t="s">
        <v>159</v>
      </c>
      <c r="I21" s="59">
        <f>VLOOKUP(H21,Criterios!$B$3:$C$6,2,FALSE)</f>
        <v>0</v>
      </c>
      <c r="J21" s="58" t="s">
        <v>159</v>
      </c>
      <c r="K21" s="59">
        <f>VLOOKUP(J21,Criterios!$B$7:$C$9,2,FALSE)</f>
        <v>0</v>
      </c>
      <c r="L21" s="58"/>
      <c r="M21" s="58"/>
      <c r="N21" s="58"/>
      <c r="O21" s="58"/>
      <c r="P21" s="58"/>
      <c r="Q21" s="57">
        <f t="shared" si="0"/>
        <v>0</v>
      </c>
      <c r="R21" s="57">
        <f>(R20-(R20*Q21))</f>
        <v>0.12</v>
      </c>
      <c r="S21" s="219"/>
      <c r="T21" s="204"/>
      <c r="U21" s="207"/>
    </row>
    <row r="22" spans="2:21" s="61" customFormat="1" ht="79.2" x14ac:dyDescent="0.25">
      <c r="B22" s="226"/>
      <c r="C22" s="226"/>
      <c r="D22" s="198"/>
      <c r="E22" s="201"/>
      <c r="F22" s="230" t="s">
        <v>89</v>
      </c>
      <c r="G22" s="60" t="s">
        <v>165</v>
      </c>
      <c r="H22" s="58" t="s">
        <v>152</v>
      </c>
      <c r="I22" s="59">
        <f>VLOOKUP(H22,Criterios!$B$3:$C$6,2,FALSE)</f>
        <v>0.25</v>
      </c>
      <c r="J22" s="58" t="s">
        <v>62</v>
      </c>
      <c r="K22" s="59">
        <f>VLOOKUP(J22,Criterios!$B$7:$C$9,2,FALSE)</f>
        <v>0.15</v>
      </c>
      <c r="L22" s="58" t="s">
        <v>153</v>
      </c>
      <c r="M22" s="58" t="s">
        <v>154</v>
      </c>
      <c r="N22" s="58" t="s">
        <v>155</v>
      </c>
      <c r="O22" s="58" t="s">
        <v>156</v>
      </c>
      <c r="P22" s="58" t="s">
        <v>157</v>
      </c>
      <c r="Q22" s="57">
        <f t="shared" si="0"/>
        <v>0.4</v>
      </c>
      <c r="R22" s="57">
        <f>IF(Q22&gt;1%,(R21-(R21*Q22)),Q22)</f>
        <v>7.1999999999999995E-2</v>
      </c>
      <c r="S22" s="219">
        <f>IF(R23&gt;1%,R23,R22)</f>
        <v>7.1999999999999995E-2</v>
      </c>
      <c r="T22" s="204"/>
      <c r="U22" s="207"/>
    </row>
    <row r="23" spans="2:21" s="61" customFormat="1" ht="14.4" x14ac:dyDescent="0.25">
      <c r="B23" s="226"/>
      <c r="C23" s="226"/>
      <c r="D23" s="198"/>
      <c r="E23" s="201"/>
      <c r="F23" s="230"/>
      <c r="G23" s="60" t="s">
        <v>158</v>
      </c>
      <c r="H23" s="58" t="s">
        <v>159</v>
      </c>
      <c r="I23" s="59">
        <f>VLOOKUP(H23,Criterios!$B$3:$C$6,2,FALSE)</f>
        <v>0</v>
      </c>
      <c r="J23" s="58" t="s">
        <v>159</v>
      </c>
      <c r="K23" s="59">
        <f>VLOOKUP(J23,Criterios!$B$7:$C$9,2,FALSE)</f>
        <v>0</v>
      </c>
      <c r="L23" s="58"/>
      <c r="M23" s="58"/>
      <c r="N23" s="58"/>
      <c r="O23" s="58"/>
      <c r="P23" s="58"/>
      <c r="Q23" s="57">
        <f t="shared" si="0"/>
        <v>0</v>
      </c>
      <c r="R23" s="57">
        <f>(R22-(R22*Q23))</f>
        <v>7.1999999999999995E-2</v>
      </c>
      <c r="S23" s="219"/>
      <c r="T23" s="204"/>
      <c r="U23" s="207"/>
    </row>
    <row r="24" spans="2:21" s="61" customFormat="1" ht="14.4" x14ac:dyDescent="0.25">
      <c r="B24" s="226"/>
      <c r="C24" s="226"/>
      <c r="D24" s="198"/>
      <c r="E24" s="201"/>
      <c r="F24" s="221" t="s">
        <v>161</v>
      </c>
      <c r="G24" s="56" t="s">
        <v>162</v>
      </c>
      <c r="H24" s="58" t="s">
        <v>159</v>
      </c>
      <c r="I24" s="55">
        <f>VLOOKUP(H24,Criterios!$B$3:$C$6,2,FALSE)</f>
        <v>0</v>
      </c>
      <c r="J24" s="58" t="s">
        <v>159</v>
      </c>
      <c r="K24" s="55">
        <f>VLOOKUP(J24,Criterios!$B$7:$C$9,2,FALSE)</f>
        <v>0</v>
      </c>
      <c r="L24" s="54"/>
      <c r="M24" s="54"/>
      <c r="N24" s="54"/>
      <c r="O24" s="54"/>
      <c r="P24" s="54"/>
      <c r="Q24" s="53">
        <f t="shared" si="0"/>
        <v>0</v>
      </c>
      <c r="R24" s="53">
        <f>IF(Q24&gt;1%,(R23-(R23*Q24)),Q24)</f>
        <v>0</v>
      </c>
      <c r="S24" s="212">
        <f>IF(R25&gt;1%,R25,R24)</f>
        <v>0</v>
      </c>
      <c r="T24" s="204"/>
      <c r="U24" s="207"/>
    </row>
    <row r="25" spans="2:21" s="61" customFormat="1" ht="14.4" x14ac:dyDescent="0.25">
      <c r="B25" s="227"/>
      <c r="C25" s="227"/>
      <c r="D25" s="199"/>
      <c r="E25" s="202"/>
      <c r="F25" s="222"/>
      <c r="G25" s="52" t="s">
        <v>158</v>
      </c>
      <c r="H25" s="50" t="s">
        <v>159</v>
      </c>
      <c r="I25" s="51">
        <f>VLOOKUP(H25,Criterios!$B$3:$C$6,2,FALSE)</f>
        <v>0</v>
      </c>
      <c r="J25" s="50" t="s">
        <v>159</v>
      </c>
      <c r="K25" s="51">
        <f>VLOOKUP(J25,Criterios!$B$7:$C$9,2,FALSE)</f>
        <v>0</v>
      </c>
      <c r="L25" s="50"/>
      <c r="M25" s="50"/>
      <c r="N25" s="50"/>
      <c r="O25" s="50"/>
      <c r="P25" s="50"/>
      <c r="Q25" s="49">
        <f t="shared" si="0"/>
        <v>0</v>
      </c>
      <c r="R25" s="49">
        <f>IF(Q25&gt;1%,(R24-(R24*Q25)),Q25)</f>
        <v>0</v>
      </c>
      <c r="S25" s="213"/>
      <c r="T25" s="205"/>
      <c r="U25" s="208"/>
    </row>
    <row r="26" spans="2:21" s="61" customFormat="1" ht="105.6" x14ac:dyDescent="0.25">
      <c r="B26" s="197" t="s">
        <v>94</v>
      </c>
      <c r="C26" s="197" t="s">
        <v>96</v>
      </c>
      <c r="D26" s="197" t="s">
        <v>166</v>
      </c>
      <c r="E26" s="200">
        <f>VLOOKUP(D26,Criterios!$A$20:$B$24,2,FALSE)</f>
        <v>0.6</v>
      </c>
      <c r="F26" s="229" t="s">
        <v>95</v>
      </c>
      <c r="G26" s="66" t="s">
        <v>167</v>
      </c>
      <c r="H26" s="64" t="s">
        <v>152</v>
      </c>
      <c r="I26" s="65">
        <f>VLOOKUP(H26,Criterios!$B$3:$C$6,2,FALSE)</f>
        <v>0.25</v>
      </c>
      <c r="J26" s="64" t="s">
        <v>62</v>
      </c>
      <c r="K26" s="65">
        <f>VLOOKUP(J26,Criterios!$B$7:$C$9,2,FALSE)</f>
        <v>0.15</v>
      </c>
      <c r="L26" s="64" t="s">
        <v>153</v>
      </c>
      <c r="M26" s="64" t="s">
        <v>154</v>
      </c>
      <c r="N26" s="64" t="s">
        <v>155</v>
      </c>
      <c r="O26" s="64" t="s">
        <v>156</v>
      </c>
      <c r="P26" s="64" t="s">
        <v>157</v>
      </c>
      <c r="Q26" s="63">
        <f t="shared" si="0"/>
        <v>0.4</v>
      </c>
      <c r="R26" s="63">
        <f>(E26-(E26*Q26))</f>
        <v>0.36</v>
      </c>
      <c r="S26" s="228">
        <f>IF(R27&gt;1%,R27,R26)</f>
        <v>0.36</v>
      </c>
      <c r="T26" s="203">
        <f>IF(S30&gt;1%,S30,(IF(S28&gt;1%,S28,S26)))</f>
        <v>0.12959999999999999</v>
      </c>
      <c r="U26" s="206" t="str">
        <f>IF(T26&lt;=20%,Criterios!$A$20,IF(T26&lt;=40%,Criterios!$A$21,IF(T26&lt;=60%,Criterios!$A$22,IF(T26&lt;=80,Criterios!$A$23,Criterios!$A$24))))</f>
        <v>Muy baja</v>
      </c>
    </row>
    <row r="27" spans="2:21" s="61" customFormat="1" ht="14.4" x14ac:dyDescent="0.25">
      <c r="B27" s="198"/>
      <c r="C27" s="198"/>
      <c r="D27" s="198"/>
      <c r="E27" s="201"/>
      <c r="F27" s="230"/>
      <c r="G27" s="60" t="s">
        <v>158</v>
      </c>
      <c r="H27" s="58" t="s">
        <v>159</v>
      </c>
      <c r="I27" s="59">
        <f>VLOOKUP(H27,Criterios!$B$3:$C$6,2,FALSE)</f>
        <v>0</v>
      </c>
      <c r="J27" s="58" t="s">
        <v>159</v>
      </c>
      <c r="K27" s="59">
        <f>VLOOKUP(J27,Criterios!$B$7:$C$9,2,FALSE)</f>
        <v>0</v>
      </c>
      <c r="L27" s="58"/>
      <c r="M27" s="58"/>
      <c r="N27" s="58"/>
      <c r="O27" s="58"/>
      <c r="P27" s="58"/>
      <c r="Q27" s="57">
        <f t="shared" si="0"/>
        <v>0</v>
      </c>
      <c r="R27" s="57">
        <f>(R26-(R26*Q27))</f>
        <v>0.36</v>
      </c>
      <c r="S27" s="219"/>
      <c r="T27" s="204"/>
      <c r="U27" s="207"/>
    </row>
    <row r="28" spans="2:21" s="61" customFormat="1" ht="145.19999999999999" x14ac:dyDescent="0.25">
      <c r="B28" s="198"/>
      <c r="C28" s="198"/>
      <c r="D28" s="198"/>
      <c r="E28" s="201"/>
      <c r="F28" s="230" t="s">
        <v>104</v>
      </c>
      <c r="G28" s="60" t="s">
        <v>168</v>
      </c>
      <c r="H28" s="58" t="s">
        <v>152</v>
      </c>
      <c r="I28" s="59">
        <f>VLOOKUP(H28,Criterios!$B$3:$C$6,2,FALSE)</f>
        <v>0.25</v>
      </c>
      <c r="J28" s="58" t="s">
        <v>62</v>
      </c>
      <c r="K28" s="59">
        <f>VLOOKUP(J28,Criterios!$B$7:$C$9,2,FALSE)</f>
        <v>0.15</v>
      </c>
      <c r="L28" s="58" t="s">
        <v>153</v>
      </c>
      <c r="M28" s="58" t="s">
        <v>154</v>
      </c>
      <c r="N28" s="58" t="s">
        <v>155</v>
      </c>
      <c r="O28" s="58" t="s">
        <v>156</v>
      </c>
      <c r="P28" s="58" t="s">
        <v>157</v>
      </c>
      <c r="Q28" s="57">
        <f t="shared" si="0"/>
        <v>0.4</v>
      </c>
      <c r="R28" s="57">
        <f>IF(Q28&gt;1%,(R27-(R27*Q28)),Q28)</f>
        <v>0.216</v>
      </c>
      <c r="S28" s="219">
        <f>IF(R29&gt;1%,R29,R28)</f>
        <v>0.216</v>
      </c>
      <c r="T28" s="204"/>
      <c r="U28" s="207"/>
    </row>
    <row r="29" spans="2:21" s="61" customFormat="1" ht="14.4" x14ac:dyDescent="0.25">
      <c r="B29" s="198"/>
      <c r="C29" s="198"/>
      <c r="D29" s="198"/>
      <c r="E29" s="201"/>
      <c r="F29" s="230"/>
      <c r="G29" s="60" t="s">
        <v>158</v>
      </c>
      <c r="H29" s="58" t="s">
        <v>159</v>
      </c>
      <c r="I29" s="59">
        <f>VLOOKUP(H29,Criterios!$B$3:$C$6,2,FALSE)</f>
        <v>0</v>
      </c>
      <c r="J29" s="58" t="s">
        <v>159</v>
      </c>
      <c r="K29" s="59">
        <f>VLOOKUP(J29,Criterios!$B$7:$C$9,2,FALSE)</f>
        <v>0</v>
      </c>
      <c r="L29" s="58"/>
      <c r="M29" s="58"/>
      <c r="N29" s="58"/>
      <c r="O29" s="58"/>
      <c r="P29" s="58"/>
      <c r="Q29" s="57">
        <f t="shared" si="0"/>
        <v>0</v>
      </c>
      <c r="R29" s="57">
        <f>(R28-(R28*Q29))</f>
        <v>0.216</v>
      </c>
      <c r="S29" s="219"/>
      <c r="T29" s="204"/>
      <c r="U29" s="207"/>
    </row>
    <row r="30" spans="2:21" s="61" customFormat="1" ht="145.19999999999999" x14ac:dyDescent="0.25">
      <c r="B30" s="198"/>
      <c r="C30" s="198"/>
      <c r="D30" s="198"/>
      <c r="E30" s="201"/>
      <c r="F30" s="230" t="s">
        <v>169</v>
      </c>
      <c r="G30" s="56" t="s">
        <v>170</v>
      </c>
      <c r="H30" s="54" t="s">
        <v>152</v>
      </c>
      <c r="I30" s="55">
        <f>VLOOKUP(H30,Criterios!$B$3:$C$6,2,FALSE)</f>
        <v>0.25</v>
      </c>
      <c r="J30" s="54" t="s">
        <v>62</v>
      </c>
      <c r="K30" s="55">
        <f>VLOOKUP(J30,Criterios!$B$7:$C$9,2,FALSE)</f>
        <v>0.15</v>
      </c>
      <c r="L30" s="54" t="s">
        <v>153</v>
      </c>
      <c r="M30" s="54" t="s">
        <v>154</v>
      </c>
      <c r="N30" s="54" t="s">
        <v>155</v>
      </c>
      <c r="O30" s="54" t="s">
        <v>156</v>
      </c>
      <c r="P30" s="54" t="s">
        <v>157</v>
      </c>
      <c r="Q30" s="53">
        <f t="shared" si="0"/>
        <v>0.4</v>
      </c>
      <c r="R30" s="53">
        <f>IF(Q30&gt;1%,(R29-(R29*Q30)),Q30)</f>
        <v>0.12959999999999999</v>
      </c>
      <c r="S30" s="212">
        <f>IF(R31&gt;1%,R31,R30)</f>
        <v>0.12959999999999999</v>
      </c>
      <c r="T30" s="204"/>
      <c r="U30" s="207"/>
    </row>
    <row r="31" spans="2:21" s="61" customFormat="1" ht="14.4" x14ac:dyDescent="0.25">
      <c r="B31" s="198"/>
      <c r="C31" s="198"/>
      <c r="D31" s="198"/>
      <c r="E31" s="201"/>
      <c r="F31" s="230"/>
      <c r="G31" s="52" t="s">
        <v>158</v>
      </c>
      <c r="H31" s="50" t="s">
        <v>159</v>
      </c>
      <c r="I31" s="51">
        <f>VLOOKUP(H31,Criterios!$B$3:$C$6,2,FALSE)</f>
        <v>0</v>
      </c>
      <c r="J31" s="50" t="s">
        <v>159</v>
      </c>
      <c r="K31" s="51">
        <f>VLOOKUP(J31,Criterios!$B$7:$C$9,2,FALSE)</f>
        <v>0</v>
      </c>
      <c r="L31" s="50"/>
      <c r="M31" s="50"/>
      <c r="N31" s="50"/>
      <c r="O31" s="50"/>
      <c r="P31" s="50"/>
      <c r="Q31" s="49">
        <f t="shared" si="0"/>
        <v>0</v>
      </c>
      <c r="R31" s="49">
        <f>IF(Q31&gt;1%,(R30-(R30*Q31)),Q31)</f>
        <v>0</v>
      </c>
      <c r="S31" s="213"/>
      <c r="T31" s="204"/>
      <c r="U31" s="207"/>
    </row>
    <row r="32" spans="2:21" s="61" customFormat="1" ht="92.4" x14ac:dyDescent="0.25">
      <c r="B32" s="198"/>
      <c r="C32" s="198"/>
      <c r="D32" s="198"/>
      <c r="E32" s="201"/>
      <c r="F32" s="210" t="s">
        <v>171</v>
      </c>
      <c r="G32" s="56" t="s">
        <v>172</v>
      </c>
      <c r="H32" s="54" t="s">
        <v>152</v>
      </c>
      <c r="I32" s="55">
        <f>VLOOKUP(H32,Criterios!$B$3:$C$6,2,FALSE)</f>
        <v>0.25</v>
      </c>
      <c r="J32" s="54" t="s">
        <v>62</v>
      </c>
      <c r="K32" s="55">
        <f>VLOOKUP(J32,Criterios!$B$7:$C$9,2,FALSE)</f>
        <v>0.15</v>
      </c>
      <c r="L32" s="58" t="s">
        <v>153</v>
      </c>
      <c r="M32" s="54" t="s">
        <v>154</v>
      </c>
      <c r="N32" s="54" t="s">
        <v>155</v>
      </c>
      <c r="O32" s="54" t="s">
        <v>156</v>
      </c>
      <c r="P32" s="54" t="s">
        <v>157</v>
      </c>
      <c r="Q32" s="53">
        <f t="shared" si="0"/>
        <v>0.4</v>
      </c>
      <c r="R32" s="53">
        <f>IF(Q32&gt;1%,(R31-(R31*Q32)),Q32)</f>
        <v>0</v>
      </c>
      <c r="S32" s="212">
        <f>IF(R33&gt;1%,R33,R32)</f>
        <v>0</v>
      </c>
      <c r="T32" s="204"/>
      <c r="U32" s="207"/>
    </row>
    <row r="33" spans="1:21" s="61" customFormat="1" ht="14.4" x14ac:dyDescent="0.25">
      <c r="B33" s="199"/>
      <c r="C33" s="199"/>
      <c r="D33" s="199"/>
      <c r="E33" s="202"/>
      <c r="F33" s="211"/>
      <c r="G33" s="52" t="s">
        <v>158</v>
      </c>
      <c r="H33" s="50" t="s">
        <v>159</v>
      </c>
      <c r="I33" s="51">
        <f>VLOOKUP(H33,Criterios!$B$3:$C$6,2,FALSE)</f>
        <v>0</v>
      </c>
      <c r="J33" s="50" t="s">
        <v>159</v>
      </c>
      <c r="K33" s="51">
        <f>VLOOKUP(J33,Criterios!$B$7:$C$9,2,FALSE)</f>
        <v>0</v>
      </c>
      <c r="L33" s="54"/>
      <c r="M33" s="50"/>
      <c r="N33" s="50"/>
      <c r="O33" s="50"/>
      <c r="P33" s="50"/>
      <c r="Q33" s="49">
        <f t="shared" si="0"/>
        <v>0</v>
      </c>
      <c r="R33" s="49">
        <f>IF(Q33&gt;1%,(R32-(R32*Q33)),Q33)</f>
        <v>0</v>
      </c>
      <c r="S33" s="213"/>
      <c r="T33" s="205"/>
      <c r="U33" s="208"/>
    </row>
    <row r="34" spans="1:21" s="61" customFormat="1" ht="14.4" hidden="1" x14ac:dyDescent="0.25">
      <c r="B34" s="225"/>
      <c r="C34" s="225"/>
      <c r="D34" s="197"/>
      <c r="E34" s="200" t="e">
        <f>VLOOKUP(D34,Criterios!$A$20:$B$24,2,FALSE)</f>
        <v>#N/A</v>
      </c>
      <c r="F34" s="229" t="s">
        <v>173</v>
      </c>
      <c r="G34" s="66" t="s">
        <v>162</v>
      </c>
      <c r="H34" s="64"/>
      <c r="I34" s="65" t="e">
        <f>VLOOKUP(H34,Criterios!$B$3:$C$6,2,FALSE)</f>
        <v>#N/A</v>
      </c>
      <c r="J34" s="64"/>
      <c r="K34" s="65" t="e">
        <f>VLOOKUP(J34,Criterios!$B$7:$C$9,2,FALSE)</f>
        <v>#N/A</v>
      </c>
      <c r="L34" s="64"/>
      <c r="M34" s="64"/>
      <c r="N34" s="64"/>
      <c r="O34" s="64"/>
      <c r="P34" s="64"/>
      <c r="Q34" s="63" t="e">
        <f t="shared" si="0"/>
        <v>#N/A</v>
      </c>
      <c r="R34" s="63" t="e">
        <f>(E34-(E34*Q34))</f>
        <v>#N/A</v>
      </c>
      <c r="S34" s="228" t="e">
        <f>IF(R35&gt;1%,R35,R34)</f>
        <v>#N/A</v>
      </c>
      <c r="T34" s="203" t="e">
        <f>IF(S38&gt;1%,S38,(IF(S36&gt;1%,S36,S34)))</f>
        <v>#N/A</v>
      </c>
      <c r="U34" s="206" t="e">
        <f>IF(T34&lt;=20%,Criterios!$A$20,IF(T34&lt;=40%,Criterios!$A$21,IF(T34&lt;=60%,Criterios!$A$22,IF(T34&lt;=80,Criterios!$A$23,Criterios!$A$24))))</f>
        <v>#N/A</v>
      </c>
    </row>
    <row r="35" spans="1:21" s="61" customFormat="1" ht="14.4" hidden="1" x14ac:dyDescent="0.25">
      <c r="B35" s="226"/>
      <c r="C35" s="226"/>
      <c r="D35" s="198"/>
      <c r="E35" s="201"/>
      <c r="F35" s="230"/>
      <c r="G35" s="60" t="s">
        <v>158</v>
      </c>
      <c r="H35" s="58"/>
      <c r="I35" s="59" t="e">
        <f>VLOOKUP(H35,Criterios!$B$3:$C$6,2,FALSE)</f>
        <v>#N/A</v>
      </c>
      <c r="J35" s="58"/>
      <c r="K35" s="59" t="e">
        <f>VLOOKUP(J35,Criterios!$B$7:$C$9,2,FALSE)</f>
        <v>#N/A</v>
      </c>
      <c r="L35" s="58"/>
      <c r="M35" s="58"/>
      <c r="N35" s="58"/>
      <c r="O35" s="58"/>
      <c r="P35" s="58"/>
      <c r="Q35" s="57" t="e">
        <f t="shared" si="0"/>
        <v>#N/A</v>
      </c>
      <c r="R35" s="57" t="e">
        <f>(R34-(R34*Q35))</f>
        <v>#N/A</v>
      </c>
      <c r="S35" s="219"/>
      <c r="T35" s="204"/>
      <c r="U35" s="207"/>
    </row>
    <row r="36" spans="1:21" s="61" customFormat="1" ht="14.4" hidden="1" x14ac:dyDescent="0.25">
      <c r="B36" s="226"/>
      <c r="C36" s="226"/>
      <c r="D36" s="198"/>
      <c r="E36" s="201"/>
      <c r="F36" s="230" t="s">
        <v>174</v>
      </c>
      <c r="G36" s="60" t="s">
        <v>162</v>
      </c>
      <c r="H36" s="58"/>
      <c r="I36" s="59" t="e">
        <f>VLOOKUP(H36,Criterios!$B$3:$C$6,2,FALSE)</f>
        <v>#N/A</v>
      </c>
      <c r="J36" s="58"/>
      <c r="K36" s="59" t="e">
        <f>VLOOKUP(J36,Criterios!$B$7:$C$9,2,FALSE)</f>
        <v>#N/A</v>
      </c>
      <c r="L36" s="58"/>
      <c r="M36" s="58"/>
      <c r="N36" s="58"/>
      <c r="O36" s="58"/>
      <c r="P36" s="58"/>
      <c r="Q36" s="57" t="e">
        <f t="shared" si="0"/>
        <v>#N/A</v>
      </c>
      <c r="R36" s="57" t="e">
        <f>IF(Q36&gt;1%,(R35-(R35*Q36)),Q36)</f>
        <v>#N/A</v>
      </c>
      <c r="S36" s="219" t="e">
        <f>IF(R37&gt;1%,R37,R36)</f>
        <v>#N/A</v>
      </c>
      <c r="T36" s="204"/>
      <c r="U36" s="207"/>
    </row>
    <row r="37" spans="1:21" s="61" customFormat="1" ht="14.4" hidden="1" x14ac:dyDescent="0.25">
      <c r="B37" s="226"/>
      <c r="C37" s="226"/>
      <c r="D37" s="198"/>
      <c r="E37" s="201"/>
      <c r="F37" s="230"/>
      <c r="G37" s="60" t="s">
        <v>158</v>
      </c>
      <c r="H37" s="58"/>
      <c r="I37" s="59" t="e">
        <f>VLOOKUP(H37,Criterios!$B$3:$C$6,2,FALSE)</f>
        <v>#N/A</v>
      </c>
      <c r="J37" s="58"/>
      <c r="K37" s="59" t="e">
        <f>VLOOKUP(J37,Criterios!$B$7:$C$9,2,FALSE)</f>
        <v>#N/A</v>
      </c>
      <c r="L37" s="58"/>
      <c r="M37" s="58"/>
      <c r="N37" s="58"/>
      <c r="O37" s="58"/>
      <c r="P37" s="58"/>
      <c r="Q37" s="57" t="e">
        <f t="shared" si="0"/>
        <v>#N/A</v>
      </c>
      <c r="R37" s="57" t="e">
        <f>(R36-(R36*Q37))</f>
        <v>#N/A</v>
      </c>
      <c r="S37" s="219"/>
      <c r="T37" s="204"/>
      <c r="U37" s="207"/>
    </row>
    <row r="38" spans="1:21" s="61" customFormat="1" ht="14.4" hidden="1" x14ac:dyDescent="0.25">
      <c r="B38" s="226"/>
      <c r="C38" s="226"/>
      <c r="D38" s="198"/>
      <c r="E38" s="201"/>
      <c r="F38" s="221" t="s">
        <v>161</v>
      </c>
      <c r="G38" s="56" t="s">
        <v>162</v>
      </c>
      <c r="H38" s="54"/>
      <c r="I38" s="55" t="e">
        <f>VLOOKUP(H38,Criterios!$B$3:$C$6,2,FALSE)</f>
        <v>#N/A</v>
      </c>
      <c r="J38" s="54"/>
      <c r="K38" s="55" t="e">
        <f>VLOOKUP(J38,Criterios!$B$7:$C$9,2,FALSE)</f>
        <v>#N/A</v>
      </c>
      <c r="L38" s="54"/>
      <c r="M38" s="54"/>
      <c r="N38" s="54"/>
      <c r="O38" s="54"/>
      <c r="P38" s="54"/>
      <c r="Q38" s="53" t="e">
        <f t="shared" si="0"/>
        <v>#N/A</v>
      </c>
      <c r="R38" s="53" t="e">
        <f>IF(Q38&gt;1%,(R37-(R37*Q38)),Q38)</f>
        <v>#N/A</v>
      </c>
      <c r="S38" s="212" t="e">
        <f>IF(R39&gt;1%,R39,R38)</f>
        <v>#N/A</v>
      </c>
      <c r="T38" s="204"/>
      <c r="U38" s="207"/>
    </row>
    <row r="39" spans="1:21" s="61" customFormat="1" ht="14.4" hidden="1" x14ac:dyDescent="0.25">
      <c r="B39" s="227"/>
      <c r="C39" s="227"/>
      <c r="D39" s="199"/>
      <c r="E39" s="202"/>
      <c r="F39" s="222"/>
      <c r="G39" s="52" t="s">
        <v>158</v>
      </c>
      <c r="H39" s="50"/>
      <c r="I39" s="51" t="e">
        <f>VLOOKUP(H39,Criterios!$B$3:$C$6,2,FALSE)</f>
        <v>#N/A</v>
      </c>
      <c r="J39" s="50"/>
      <c r="K39" s="51" t="e">
        <f>VLOOKUP(J39,Criterios!$B$7:$C$9,2,FALSE)</f>
        <v>#N/A</v>
      </c>
      <c r="L39" s="50"/>
      <c r="M39" s="50"/>
      <c r="N39" s="50"/>
      <c r="O39" s="50"/>
      <c r="P39" s="50"/>
      <c r="Q39" s="49" t="e">
        <f t="shared" si="0"/>
        <v>#N/A</v>
      </c>
      <c r="R39" s="49" t="e">
        <f>IF(Q39&gt;1%,(R38-(R38*Q39)),Q39)</f>
        <v>#N/A</v>
      </c>
      <c r="S39" s="213"/>
      <c r="T39" s="205"/>
      <c r="U39" s="208"/>
    </row>
    <row r="40" spans="1:21" s="61" customFormat="1" ht="14.4" hidden="1" x14ac:dyDescent="0.25">
      <c r="B40" s="225"/>
      <c r="C40" s="225"/>
      <c r="D40" s="197"/>
      <c r="E40" s="200" t="e">
        <f>VLOOKUP(D40,Criterios!$A$20:$B$24,2,FALSE)</f>
        <v>#N/A</v>
      </c>
      <c r="F40" s="229" t="s">
        <v>173</v>
      </c>
      <c r="G40" s="66" t="s">
        <v>162</v>
      </c>
      <c r="H40" s="64"/>
      <c r="I40" s="65" t="e">
        <f>VLOOKUP(H40,Criterios!$B$3:$C$6,2,FALSE)</f>
        <v>#N/A</v>
      </c>
      <c r="J40" s="64"/>
      <c r="K40" s="65" t="e">
        <f>VLOOKUP(J40,Criterios!$B$7:$C$9,2,FALSE)</f>
        <v>#N/A</v>
      </c>
      <c r="L40" s="64"/>
      <c r="M40" s="64"/>
      <c r="N40" s="64"/>
      <c r="O40" s="64"/>
      <c r="P40" s="64"/>
      <c r="Q40" s="63" t="e">
        <f t="shared" si="0"/>
        <v>#N/A</v>
      </c>
      <c r="R40" s="63" t="e">
        <f>(E40-(E40*Q40))</f>
        <v>#N/A</v>
      </c>
      <c r="S40" s="228" t="e">
        <f>IF(R41&gt;1%,R41,R40)</f>
        <v>#N/A</v>
      </c>
      <c r="T40" s="203" t="e">
        <f>IF(S44&gt;1%,S44,(IF(S42&gt;1%,S42,S40)))</f>
        <v>#N/A</v>
      </c>
      <c r="U40" s="206" t="e">
        <f>IF(T40&lt;=20%,Criterios!$A$20,IF(T40&lt;=40%,Criterios!$A$21,IF(T40&lt;=60%,Criterios!$A$22,IF(T40&lt;=80,Criterios!$A$23,Criterios!$A$24))))</f>
        <v>#N/A</v>
      </c>
    </row>
    <row r="41" spans="1:21" s="61" customFormat="1" ht="14.4" hidden="1" x14ac:dyDescent="0.25">
      <c r="B41" s="226"/>
      <c r="C41" s="226"/>
      <c r="D41" s="198"/>
      <c r="E41" s="201"/>
      <c r="F41" s="230"/>
      <c r="G41" s="60" t="s">
        <v>158</v>
      </c>
      <c r="H41" s="58"/>
      <c r="I41" s="59" t="e">
        <f>VLOOKUP(H41,Criterios!$B$3:$C$6,2,FALSE)</f>
        <v>#N/A</v>
      </c>
      <c r="J41" s="58"/>
      <c r="K41" s="59" t="e">
        <f>VLOOKUP(J41,Criterios!$B$7:$C$9,2,FALSE)</f>
        <v>#N/A</v>
      </c>
      <c r="L41" s="58"/>
      <c r="M41" s="58"/>
      <c r="N41" s="58"/>
      <c r="O41" s="58"/>
      <c r="P41" s="58"/>
      <c r="Q41" s="57" t="e">
        <f t="shared" si="0"/>
        <v>#N/A</v>
      </c>
      <c r="R41" s="57" t="e">
        <f>(R40-(R40*Q41))</f>
        <v>#N/A</v>
      </c>
      <c r="S41" s="219"/>
      <c r="T41" s="204"/>
      <c r="U41" s="207"/>
    </row>
    <row r="42" spans="1:21" s="61" customFormat="1" ht="14.4" hidden="1" x14ac:dyDescent="0.25">
      <c r="B42" s="226"/>
      <c r="C42" s="226"/>
      <c r="D42" s="198"/>
      <c r="E42" s="201"/>
      <c r="F42" s="230" t="s">
        <v>174</v>
      </c>
      <c r="G42" s="60" t="s">
        <v>162</v>
      </c>
      <c r="H42" s="58"/>
      <c r="I42" s="59" t="e">
        <f>VLOOKUP(H42,Criterios!$B$3:$C$6,2,FALSE)</f>
        <v>#N/A</v>
      </c>
      <c r="J42" s="58"/>
      <c r="K42" s="59" t="e">
        <f>VLOOKUP(J42,Criterios!$B$7:$C$9,2,FALSE)</f>
        <v>#N/A</v>
      </c>
      <c r="L42" s="58"/>
      <c r="M42" s="58"/>
      <c r="N42" s="58"/>
      <c r="O42" s="58"/>
      <c r="P42" s="58"/>
      <c r="Q42" s="57" t="e">
        <f t="shared" si="0"/>
        <v>#N/A</v>
      </c>
      <c r="R42" s="57" t="e">
        <f>IF(Q42&gt;1%,(R41-(R41*Q42)),Q42)</f>
        <v>#N/A</v>
      </c>
      <c r="S42" s="219" t="e">
        <f>IF(R43&gt;1%,R43,R42)</f>
        <v>#N/A</v>
      </c>
      <c r="T42" s="204"/>
      <c r="U42" s="207"/>
    </row>
    <row r="43" spans="1:21" s="61" customFormat="1" ht="14.4" hidden="1" x14ac:dyDescent="0.25">
      <c r="B43" s="226"/>
      <c r="C43" s="226"/>
      <c r="D43" s="198"/>
      <c r="E43" s="201"/>
      <c r="F43" s="230"/>
      <c r="G43" s="60" t="s">
        <v>158</v>
      </c>
      <c r="H43" s="58"/>
      <c r="I43" s="59" t="e">
        <f>VLOOKUP(H43,Criterios!$B$3:$C$6,2,FALSE)</f>
        <v>#N/A</v>
      </c>
      <c r="J43" s="58"/>
      <c r="K43" s="59" t="e">
        <f>VLOOKUP(J43,Criterios!$B$7:$C$9,2,FALSE)</f>
        <v>#N/A</v>
      </c>
      <c r="L43" s="58"/>
      <c r="M43" s="58"/>
      <c r="N43" s="58"/>
      <c r="O43" s="58"/>
      <c r="P43" s="58"/>
      <c r="Q43" s="57" t="e">
        <f t="shared" si="0"/>
        <v>#N/A</v>
      </c>
      <c r="R43" s="57" t="e">
        <f>(R42-(R42*Q43))</f>
        <v>#N/A</v>
      </c>
      <c r="S43" s="219"/>
      <c r="T43" s="204"/>
      <c r="U43" s="207"/>
    </row>
    <row r="44" spans="1:21" s="61" customFormat="1" ht="14.4" hidden="1" x14ac:dyDescent="0.25">
      <c r="B44" s="226"/>
      <c r="C44" s="226"/>
      <c r="D44" s="198"/>
      <c r="E44" s="201"/>
      <c r="F44" s="221" t="s">
        <v>161</v>
      </c>
      <c r="G44" s="56" t="s">
        <v>162</v>
      </c>
      <c r="H44" s="54"/>
      <c r="I44" s="55" t="e">
        <f>VLOOKUP(H44,Criterios!$B$3:$C$6,2,FALSE)</f>
        <v>#N/A</v>
      </c>
      <c r="J44" s="54"/>
      <c r="K44" s="55" t="e">
        <f>VLOOKUP(J44,Criterios!$B$7:$C$9,2,FALSE)</f>
        <v>#N/A</v>
      </c>
      <c r="L44" s="54"/>
      <c r="M44" s="54"/>
      <c r="N44" s="54"/>
      <c r="O44" s="54"/>
      <c r="P44" s="54"/>
      <c r="Q44" s="53" t="e">
        <f t="shared" si="0"/>
        <v>#N/A</v>
      </c>
      <c r="R44" s="53" t="e">
        <f>IF(Q44&gt;1%,(R43-(R43*Q44)),Q44)</f>
        <v>#N/A</v>
      </c>
      <c r="S44" s="212" t="e">
        <f>IF(R45&gt;1%,R45,R44)</f>
        <v>#N/A</v>
      </c>
      <c r="T44" s="204"/>
      <c r="U44" s="207"/>
    </row>
    <row r="45" spans="1:21" s="61" customFormat="1" ht="14.4" hidden="1" x14ac:dyDescent="0.25">
      <c r="B45" s="227"/>
      <c r="C45" s="227"/>
      <c r="D45" s="199"/>
      <c r="E45" s="202"/>
      <c r="F45" s="222"/>
      <c r="G45" s="52" t="s">
        <v>158</v>
      </c>
      <c r="H45" s="50"/>
      <c r="I45" s="51" t="e">
        <f>VLOOKUP(H45,Criterios!$B$3:$C$6,2,FALSE)</f>
        <v>#N/A</v>
      </c>
      <c r="J45" s="50"/>
      <c r="K45" s="51" t="e">
        <f>VLOOKUP(J45,Criterios!$B$7:$C$9,2,FALSE)</f>
        <v>#N/A</v>
      </c>
      <c r="L45" s="50"/>
      <c r="M45" s="50"/>
      <c r="N45" s="50"/>
      <c r="O45" s="50"/>
      <c r="P45" s="50"/>
      <c r="Q45" s="49" t="e">
        <f t="shared" si="0"/>
        <v>#N/A</v>
      </c>
      <c r="R45" s="49" t="e">
        <f>IF(Q45&gt;1%,(R44-(R44*Q45)),Q45)</f>
        <v>#N/A</v>
      </c>
      <c r="S45" s="213"/>
      <c r="T45" s="205"/>
      <c r="U45" s="208"/>
    </row>
    <row r="46" spans="1:21" ht="13.8" x14ac:dyDescent="0.25">
      <c r="A46" s="47"/>
      <c r="B46" s="46"/>
      <c r="C46" s="46"/>
      <c r="D46" s="46"/>
      <c r="E46" s="46"/>
      <c r="F46" s="46"/>
      <c r="G46" s="46"/>
      <c r="J46" s="43"/>
      <c r="K46" s="43"/>
      <c r="L46" s="43"/>
      <c r="M46" s="43"/>
      <c r="N46" s="43"/>
      <c r="O46" s="43"/>
      <c r="P46" s="43"/>
      <c r="Q46" s="43"/>
      <c r="R46" s="43"/>
      <c r="S46" s="43"/>
      <c r="T46" s="43"/>
      <c r="U46" s="43"/>
    </row>
    <row r="47" spans="1:21" ht="4.5" customHeight="1" x14ac:dyDescent="0.25">
      <c r="A47" s="47"/>
      <c r="B47" s="74"/>
      <c r="C47" s="74"/>
      <c r="D47" s="43"/>
      <c r="E47" s="43"/>
      <c r="F47" s="43"/>
      <c r="G47" s="46"/>
      <c r="H47" s="74"/>
      <c r="I47" s="74"/>
      <c r="J47" s="74"/>
      <c r="K47" s="74"/>
      <c r="L47" s="74"/>
      <c r="M47" s="43"/>
      <c r="N47" s="43"/>
      <c r="O47" s="43"/>
      <c r="P47" s="43"/>
      <c r="Q47" s="43"/>
      <c r="R47" s="43"/>
      <c r="S47" s="43"/>
      <c r="T47" s="43"/>
      <c r="U47" s="43"/>
    </row>
    <row r="48" spans="1:21" ht="6.75" customHeight="1" x14ac:dyDescent="0.25">
      <c r="A48" s="47"/>
      <c r="B48" s="46"/>
      <c r="C48" s="46"/>
      <c r="D48" s="46"/>
      <c r="E48" s="46"/>
      <c r="F48" s="46"/>
      <c r="G48" s="46"/>
      <c r="J48" s="43"/>
      <c r="K48" s="43"/>
      <c r="L48" s="43"/>
      <c r="M48" s="43"/>
      <c r="N48" s="43"/>
      <c r="O48" s="43"/>
      <c r="P48" s="43"/>
      <c r="Q48" s="43"/>
      <c r="R48" s="43"/>
      <c r="S48" s="43"/>
      <c r="T48" s="43"/>
      <c r="U48" s="43"/>
    </row>
    <row r="49" spans="1:23" ht="16.5" customHeight="1" x14ac:dyDescent="0.25">
      <c r="A49" s="47"/>
      <c r="B49" s="233" t="s">
        <v>175</v>
      </c>
      <c r="C49" s="233"/>
      <c r="D49" s="233"/>
      <c r="E49" s="233"/>
      <c r="F49" s="233"/>
      <c r="G49" s="233"/>
      <c r="H49" s="233"/>
      <c r="I49" s="233"/>
      <c r="J49" s="233"/>
      <c r="K49" s="233"/>
      <c r="L49" s="233"/>
      <c r="M49" s="233"/>
      <c r="N49" s="233"/>
      <c r="O49" s="233"/>
      <c r="P49" s="233"/>
      <c r="Q49" s="233"/>
      <c r="R49" s="233"/>
      <c r="S49" s="233"/>
      <c r="T49" s="233"/>
      <c r="U49" s="233"/>
      <c r="V49" s="233"/>
      <c r="W49" s="233"/>
    </row>
    <row r="50" spans="1:23" ht="13.8" x14ac:dyDescent="0.25">
      <c r="A50" s="47"/>
      <c r="B50" s="73"/>
      <c r="C50" s="73"/>
      <c r="D50" s="72"/>
      <c r="E50" s="72"/>
      <c r="F50" s="72"/>
      <c r="H50" s="74"/>
      <c r="I50" s="74"/>
      <c r="J50" s="74"/>
      <c r="K50" s="74"/>
      <c r="L50" s="74"/>
    </row>
    <row r="51" spans="1:23" ht="15" customHeight="1" x14ac:dyDescent="0.25">
      <c r="A51" s="47"/>
      <c r="B51" s="192" t="s">
        <v>124</v>
      </c>
      <c r="C51" s="193"/>
      <c r="D51" s="223">
        <v>45762</v>
      </c>
      <c r="E51" s="224"/>
      <c r="F51" s="74" t="s">
        <v>125</v>
      </c>
      <c r="G51" s="194" t="s">
        <v>176</v>
      </c>
      <c r="H51" s="196"/>
      <c r="I51" s="191" t="s">
        <v>177</v>
      </c>
      <c r="J51" s="192"/>
      <c r="K51" s="192"/>
      <c r="L51" s="192"/>
      <c r="M51" s="193"/>
      <c r="N51" s="224" t="s">
        <v>178</v>
      </c>
      <c r="O51" s="224"/>
      <c r="P51" s="224"/>
      <c r="Q51" s="224"/>
      <c r="R51" s="224"/>
      <c r="T51" s="43"/>
      <c r="U51" s="43"/>
    </row>
    <row r="52" spans="1:23" ht="13.8" x14ac:dyDescent="0.25">
      <c r="A52" s="47"/>
      <c r="B52" s="73"/>
      <c r="C52" s="73"/>
      <c r="D52" s="72"/>
      <c r="E52" s="72"/>
      <c r="F52" s="72"/>
      <c r="H52" s="234"/>
      <c r="I52" s="234"/>
      <c r="J52" s="234"/>
      <c r="K52" s="234"/>
      <c r="L52" s="234"/>
    </row>
    <row r="53" spans="1:23" s="68" customFormat="1" ht="28.5" customHeight="1" x14ac:dyDescent="0.3">
      <c r="B53" s="209" t="s">
        <v>128</v>
      </c>
      <c r="C53" s="209" t="s">
        <v>129</v>
      </c>
      <c r="D53" s="209" t="s">
        <v>130</v>
      </c>
      <c r="E53" s="209"/>
      <c r="F53" s="237" t="s">
        <v>131</v>
      </c>
      <c r="G53" s="209" t="s">
        <v>132</v>
      </c>
      <c r="H53" s="214" t="s">
        <v>133</v>
      </c>
      <c r="I53" s="215"/>
      <c r="J53" s="215"/>
      <c r="K53" s="215"/>
      <c r="L53" s="215"/>
      <c r="M53" s="215"/>
      <c r="N53" s="215"/>
      <c r="O53" s="215"/>
      <c r="P53" s="216"/>
      <c r="Q53" s="220" t="s">
        <v>134</v>
      </c>
      <c r="R53" s="220"/>
      <c r="S53" s="220"/>
      <c r="T53" s="220"/>
      <c r="U53" s="235" t="s">
        <v>135</v>
      </c>
      <c r="V53" s="236" t="s">
        <v>179</v>
      </c>
      <c r="W53" s="75"/>
    </row>
    <row r="54" spans="1:23" s="68" customFormat="1" ht="21.75" customHeight="1" x14ac:dyDescent="0.3">
      <c r="B54" s="209"/>
      <c r="C54" s="209"/>
      <c r="D54" s="209"/>
      <c r="E54" s="209"/>
      <c r="F54" s="238"/>
      <c r="G54" s="209"/>
      <c r="H54" s="214" t="s">
        <v>136</v>
      </c>
      <c r="I54" s="215"/>
      <c r="J54" s="215"/>
      <c r="K54" s="216"/>
      <c r="L54" s="214" t="s">
        <v>137</v>
      </c>
      <c r="M54" s="215"/>
      <c r="N54" s="215"/>
      <c r="O54" s="215"/>
      <c r="P54" s="216"/>
      <c r="Q54" s="217" t="s">
        <v>138</v>
      </c>
      <c r="R54" s="217" t="s">
        <v>139</v>
      </c>
      <c r="S54" s="217" t="s">
        <v>140</v>
      </c>
      <c r="T54" s="231" t="s">
        <v>141</v>
      </c>
      <c r="U54" s="235" t="s">
        <v>142</v>
      </c>
      <c r="V54" s="236"/>
      <c r="W54" s="75"/>
    </row>
    <row r="55" spans="1:23" s="68" customFormat="1" ht="66" x14ac:dyDescent="0.3">
      <c r="B55" s="209"/>
      <c r="C55" s="209"/>
      <c r="D55" s="70" t="s">
        <v>143</v>
      </c>
      <c r="E55" s="70" t="s">
        <v>36</v>
      </c>
      <c r="F55" s="239"/>
      <c r="G55" s="209"/>
      <c r="H55" s="70" t="s">
        <v>144</v>
      </c>
      <c r="I55" s="70" t="s">
        <v>145</v>
      </c>
      <c r="J55" s="70" t="s">
        <v>146</v>
      </c>
      <c r="K55" s="70" t="s">
        <v>145</v>
      </c>
      <c r="L55" s="70" t="s">
        <v>147</v>
      </c>
      <c r="M55" s="71" t="s">
        <v>38</v>
      </c>
      <c r="N55" s="71" t="s">
        <v>148</v>
      </c>
      <c r="O55" s="71" t="s">
        <v>149</v>
      </c>
      <c r="P55" s="70" t="s">
        <v>150</v>
      </c>
      <c r="Q55" s="218"/>
      <c r="R55" s="218"/>
      <c r="S55" s="218"/>
      <c r="T55" s="232"/>
      <c r="U55" s="235"/>
      <c r="V55" s="236"/>
      <c r="W55" s="75"/>
    </row>
    <row r="56" spans="1:23" s="61" customFormat="1" ht="145.19999999999999" x14ac:dyDescent="0.25">
      <c r="B56" s="225" t="s">
        <v>53</v>
      </c>
      <c r="C56" s="225" t="s">
        <v>55</v>
      </c>
      <c r="D56" s="197" t="s">
        <v>151</v>
      </c>
      <c r="E56" s="200">
        <f>VLOOKUP(D56,Criterios!$A$20:$B$24,2,FALSE)</f>
        <v>0.4</v>
      </c>
      <c r="F56" s="229" t="s">
        <v>54</v>
      </c>
      <c r="G56" s="66" t="s">
        <v>60</v>
      </c>
      <c r="H56" s="64" t="s">
        <v>152</v>
      </c>
      <c r="I56" s="65">
        <f>VLOOKUP(H56,Criterios!$B$3:$C$6,2,FALSE)</f>
        <v>0.25</v>
      </c>
      <c r="J56" s="64" t="s">
        <v>62</v>
      </c>
      <c r="K56" s="65">
        <f>VLOOKUP(J56,Criterios!$B$7:$C$9,2,FALSE)</f>
        <v>0.15</v>
      </c>
      <c r="L56" s="64" t="s">
        <v>153</v>
      </c>
      <c r="M56" s="64" t="s">
        <v>154</v>
      </c>
      <c r="N56" s="64" t="s">
        <v>155</v>
      </c>
      <c r="O56" s="64" t="s">
        <v>156</v>
      </c>
      <c r="P56" s="64" t="s">
        <v>157</v>
      </c>
      <c r="Q56" s="63">
        <f t="shared" ref="Q56:Q75" si="1">+I56+K56</f>
        <v>0.4</v>
      </c>
      <c r="R56" s="63">
        <f>(E56-(E56*Q56))</f>
        <v>0.24</v>
      </c>
      <c r="S56" s="228">
        <f>IF(R57&gt;1%,R57,R56)</f>
        <v>0.24</v>
      </c>
      <c r="T56" s="203">
        <f>IF(S60&gt;1%,S60,(IF(S58&gt;1%,S58,S56)))</f>
        <v>0.14399999999999999</v>
      </c>
      <c r="U56" s="206" t="str">
        <f>IF(T56&lt;=20%,Criterios!$A$20,IF(T56&lt;=40%,Criterios!$A$21,IF(T56&lt;=60%,Criterios!$A$22,IF(T56&lt;=80,Criterios!$A$23,Criterios!$A$24))))</f>
        <v>Muy baja</v>
      </c>
      <c r="V56" s="116" t="s">
        <v>180</v>
      </c>
    </row>
    <row r="57" spans="1:23" s="61" customFormat="1" ht="14.4" x14ac:dyDescent="0.25">
      <c r="B57" s="226"/>
      <c r="C57" s="226"/>
      <c r="D57" s="198"/>
      <c r="E57" s="201"/>
      <c r="F57" s="230"/>
      <c r="G57" s="60" t="s">
        <v>158</v>
      </c>
      <c r="H57" s="58" t="s">
        <v>159</v>
      </c>
      <c r="I57" s="59">
        <f>VLOOKUP(H57,Criterios!$B$3:$C$6,2,FALSE)</f>
        <v>0</v>
      </c>
      <c r="J57" s="58" t="s">
        <v>159</v>
      </c>
      <c r="K57" s="59">
        <f>VLOOKUP(J57,Criterios!$B$7:$C$9,2,FALSE)</f>
        <v>0</v>
      </c>
      <c r="L57" s="58"/>
      <c r="M57" s="58"/>
      <c r="N57" s="58"/>
      <c r="O57" s="58"/>
      <c r="P57" s="58"/>
      <c r="Q57" s="57">
        <f t="shared" si="1"/>
        <v>0</v>
      </c>
      <c r="R57" s="57">
        <f>(R56-(R56*Q57))</f>
        <v>0.24</v>
      </c>
      <c r="S57" s="219"/>
      <c r="T57" s="204"/>
      <c r="U57" s="207"/>
      <c r="V57" s="117"/>
    </row>
    <row r="58" spans="1:23" s="61" customFormat="1" ht="132" x14ac:dyDescent="0.25">
      <c r="B58" s="226"/>
      <c r="C58" s="226"/>
      <c r="D58" s="198"/>
      <c r="E58" s="201"/>
      <c r="F58" s="230" t="s">
        <v>73</v>
      </c>
      <c r="G58" s="60" t="s">
        <v>181</v>
      </c>
      <c r="H58" s="58" t="s">
        <v>152</v>
      </c>
      <c r="I58" s="59">
        <f>VLOOKUP(H58,Criterios!$B$3:$C$6,2,FALSE)</f>
        <v>0.25</v>
      </c>
      <c r="J58" s="58" t="s">
        <v>62</v>
      </c>
      <c r="K58" s="59">
        <f>VLOOKUP(J58,Criterios!$B$7:$C$9,2,FALSE)</f>
        <v>0.15</v>
      </c>
      <c r="L58" s="58" t="s">
        <v>153</v>
      </c>
      <c r="M58" s="58" t="s">
        <v>154</v>
      </c>
      <c r="N58" s="58" t="s">
        <v>155</v>
      </c>
      <c r="O58" s="58" t="s">
        <v>156</v>
      </c>
      <c r="P58" s="58" t="s">
        <v>157</v>
      </c>
      <c r="Q58" s="57">
        <f t="shared" si="1"/>
        <v>0.4</v>
      </c>
      <c r="R58" s="57">
        <f>IF(Q58&gt;1%,(R57-(R57*Q58)),Q58)</f>
        <v>0.14399999999999999</v>
      </c>
      <c r="S58" s="219">
        <f>IF(R59&gt;1%,R59,R58)</f>
        <v>0.14399999999999999</v>
      </c>
      <c r="T58" s="204"/>
      <c r="U58" s="207"/>
      <c r="V58" s="116" t="s">
        <v>180</v>
      </c>
    </row>
    <row r="59" spans="1:23" s="61" customFormat="1" ht="14.4" x14ac:dyDescent="0.25">
      <c r="B59" s="226"/>
      <c r="C59" s="226"/>
      <c r="D59" s="198"/>
      <c r="E59" s="201"/>
      <c r="F59" s="230"/>
      <c r="G59" s="60" t="s">
        <v>158</v>
      </c>
      <c r="H59" s="58" t="s">
        <v>159</v>
      </c>
      <c r="I59" s="59">
        <f>VLOOKUP(H59,Criterios!$B$3:$C$6,2,FALSE)</f>
        <v>0</v>
      </c>
      <c r="J59" s="58" t="s">
        <v>159</v>
      </c>
      <c r="K59" s="59">
        <f>VLOOKUP(J59,Criterios!$B$7:$C$9,2,FALSE)</f>
        <v>0</v>
      </c>
      <c r="L59" s="58"/>
      <c r="M59" s="58"/>
      <c r="N59" s="58"/>
      <c r="O59" s="58"/>
      <c r="P59" s="58"/>
      <c r="Q59" s="57">
        <f t="shared" si="1"/>
        <v>0</v>
      </c>
      <c r="R59" s="57">
        <f>(R58-(R58*Q59))</f>
        <v>0.14399999999999999</v>
      </c>
      <c r="S59" s="219"/>
      <c r="T59" s="204"/>
      <c r="U59" s="207"/>
      <c r="V59" s="117"/>
    </row>
    <row r="60" spans="1:23" s="61" customFormat="1" ht="14.4" x14ac:dyDescent="0.25">
      <c r="B60" s="226"/>
      <c r="C60" s="226"/>
      <c r="D60" s="198"/>
      <c r="E60" s="201"/>
      <c r="F60" s="221" t="s">
        <v>161</v>
      </c>
      <c r="G60" s="56" t="s">
        <v>162</v>
      </c>
      <c r="H60" s="58" t="s">
        <v>159</v>
      </c>
      <c r="I60" s="55">
        <f>VLOOKUP(H60,Criterios!$B$3:$C$6,2,FALSE)</f>
        <v>0</v>
      </c>
      <c r="J60" s="58" t="s">
        <v>159</v>
      </c>
      <c r="K60" s="55">
        <f>VLOOKUP(J60,Criterios!$B$7:$C$9,2,FALSE)</f>
        <v>0</v>
      </c>
      <c r="L60" s="54"/>
      <c r="M60" s="54"/>
      <c r="N60" s="54"/>
      <c r="O60" s="54"/>
      <c r="P60" s="54"/>
      <c r="Q60" s="53">
        <f t="shared" si="1"/>
        <v>0</v>
      </c>
      <c r="R60" s="53">
        <f>IF(Q60&gt;1%,(R59-(R59*Q60)),Q60)</f>
        <v>0</v>
      </c>
      <c r="S60" s="212">
        <f>IF(R61&gt;1%,R61,R60)</f>
        <v>0</v>
      </c>
      <c r="T60" s="204"/>
      <c r="U60" s="207"/>
      <c r="V60" s="117"/>
    </row>
    <row r="61" spans="1:23" s="61" customFormat="1" ht="14.4" x14ac:dyDescent="0.25">
      <c r="B61" s="227"/>
      <c r="C61" s="227"/>
      <c r="D61" s="199"/>
      <c r="E61" s="202"/>
      <c r="F61" s="222"/>
      <c r="G61" s="52" t="s">
        <v>158</v>
      </c>
      <c r="H61" s="50" t="s">
        <v>159</v>
      </c>
      <c r="I61" s="51">
        <f>VLOOKUP(H61,Criterios!$B$3:$C$6,2,FALSE)</f>
        <v>0</v>
      </c>
      <c r="J61" s="50" t="s">
        <v>159</v>
      </c>
      <c r="K61" s="51">
        <f>VLOOKUP(J61,Criterios!$B$7:$C$9,2,FALSE)</f>
        <v>0</v>
      </c>
      <c r="L61" s="50"/>
      <c r="M61" s="50"/>
      <c r="N61" s="50"/>
      <c r="O61" s="50"/>
      <c r="P61" s="50"/>
      <c r="Q61" s="49">
        <f t="shared" si="1"/>
        <v>0</v>
      </c>
      <c r="R61" s="49">
        <f>IF(Q61&gt;1%,(R60-(R60*Q61)),Q61)</f>
        <v>0</v>
      </c>
      <c r="S61" s="213"/>
      <c r="T61" s="205"/>
      <c r="U61" s="208"/>
      <c r="V61" s="117"/>
    </row>
    <row r="62" spans="1:23" s="61" customFormat="1" ht="132" x14ac:dyDescent="0.25">
      <c r="B62" s="225" t="s">
        <v>78</v>
      </c>
      <c r="C62" s="225" t="s">
        <v>80</v>
      </c>
      <c r="D62" s="197" t="s">
        <v>163</v>
      </c>
      <c r="E62" s="200">
        <f>VLOOKUP(D62,Criterios!$A$20:$B$24,2,FALSE)</f>
        <v>0.2</v>
      </c>
      <c r="F62" s="229" t="s">
        <v>79</v>
      </c>
      <c r="G62" s="66" t="s">
        <v>164</v>
      </c>
      <c r="H62" s="64" t="s">
        <v>152</v>
      </c>
      <c r="I62" s="65">
        <f>VLOOKUP(H62,Criterios!$B$3:$C$6,2,FALSE)</f>
        <v>0.25</v>
      </c>
      <c r="J62" s="64" t="s">
        <v>62</v>
      </c>
      <c r="K62" s="65">
        <f>VLOOKUP(J62,Criterios!$B$7:$C$9,2,FALSE)</f>
        <v>0.15</v>
      </c>
      <c r="L62" s="64" t="s">
        <v>153</v>
      </c>
      <c r="M62" s="64" t="s">
        <v>154</v>
      </c>
      <c r="N62" s="64" t="s">
        <v>155</v>
      </c>
      <c r="O62" s="64" t="s">
        <v>156</v>
      </c>
      <c r="P62" s="64" t="s">
        <v>157</v>
      </c>
      <c r="Q62" s="63">
        <f t="shared" si="1"/>
        <v>0.4</v>
      </c>
      <c r="R62" s="63">
        <f>(E62-(E62*Q62))</f>
        <v>0.12</v>
      </c>
      <c r="S62" s="228">
        <f>IF(R63&gt;1%,R63,R62)</f>
        <v>0.12</v>
      </c>
      <c r="T62" s="203">
        <f>IF(S66&gt;1%,S66,(IF(S64&gt;1%,S64,S62)))</f>
        <v>7.1999999999999995E-2</v>
      </c>
      <c r="U62" s="206" t="str">
        <f>IF(T62&lt;=20%,Criterios!$A$20,IF(T62&lt;=40%,Criterios!$A$21,IF(T62&lt;=60%,Criterios!$A$22,IF(T62&lt;=80,Criterios!$A$23,Criterios!$A$24))))</f>
        <v>Muy baja</v>
      </c>
      <c r="V62" s="116" t="s">
        <v>182</v>
      </c>
    </row>
    <row r="63" spans="1:23" s="47" customFormat="1" ht="13.8" x14ac:dyDescent="0.25">
      <c r="B63" s="226"/>
      <c r="C63" s="226"/>
      <c r="D63" s="198"/>
      <c r="E63" s="201"/>
      <c r="F63" s="230"/>
      <c r="G63" s="60" t="s">
        <v>158</v>
      </c>
      <c r="H63" s="58" t="s">
        <v>159</v>
      </c>
      <c r="I63" s="59">
        <f>VLOOKUP(H63,Criterios!$B$3:$C$6,2,FALSE)</f>
        <v>0</v>
      </c>
      <c r="J63" s="58" t="s">
        <v>159</v>
      </c>
      <c r="K63" s="59">
        <f>VLOOKUP(J63,Criterios!$B$7:$C$9,2,FALSE)</f>
        <v>0</v>
      </c>
      <c r="L63" s="58"/>
      <c r="M63" s="58"/>
      <c r="N63" s="58"/>
      <c r="O63" s="58"/>
      <c r="P63" s="58"/>
      <c r="Q63" s="57">
        <f t="shared" si="1"/>
        <v>0</v>
      </c>
      <c r="R63" s="57">
        <f>(R62-(R62*Q63))</f>
        <v>0.12</v>
      </c>
      <c r="S63" s="219"/>
      <c r="T63" s="204"/>
      <c r="U63" s="207"/>
      <c r="V63" s="118"/>
    </row>
    <row r="64" spans="1:23" s="47" customFormat="1" ht="92.4" x14ac:dyDescent="0.25">
      <c r="B64" s="226"/>
      <c r="C64" s="226"/>
      <c r="D64" s="198"/>
      <c r="E64" s="201"/>
      <c r="F64" s="230" t="s">
        <v>89</v>
      </c>
      <c r="G64" s="60" t="s">
        <v>165</v>
      </c>
      <c r="H64" s="58" t="s">
        <v>152</v>
      </c>
      <c r="I64" s="59">
        <f>VLOOKUP(H64,Criterios!$B$3:$C$6,2,FALSE)</f>
        <v>0.25</v>
      </c>
      <c r="J64" s="58" t="s">
        <v>62</v>
      </c>
      <c r="K64" s="59">
        <f>VLOOKUP(J64,Criterios!$B$7:$C$9,2,FALSE)</f>
        <v>0.15</v>
      </c>
      <c r="L64" s="58" t="s">
        <v>153</v>
      </c>
      <c r="M64" s="58" t="s">
        <v>154</v>
      </c>
      <c r="N64" s="58" t="s">
        <v>155</v>
      </c>
      <c r="O64" s="58" t="s">
        <v>156</v>
      </c>
      <c r="P64" s="58" t="s">
        <v>157</v>
      </c>
      <c r="Q64" s="57">
        <f t="shared" si="1"/>
        <v>0.4</v>
      </c>
      <c r="R64" s="57">
        <f>IF(Q64&gt;1%,(R63-(R63*Q64)),Q64)</f>
        <v>7.1999999999999995E-2</v>
      </c>
      <c r="S64" s="219">
        <f>IF(R65&gt;1%,R65,R64)</f>
        <v>7.1999999999999995E-2</v>
      </c>
      <c r="T64" s="204"/>
      <c r="U64" s="207"/>
      <c r="V64" s="116" t="s">
        <v>182</v>
      </c>
    </row>
    <row r="65" spans="1:23" s="47" customFormat="1" ht="13.8" x14ac:dyDescent="0.25">
      <c r="B65" s="226"/>
      <c r="C65" s="226"/>
      <c r="D65" s="198"/>
      <c r="E65" s="201"/>
      <c r="F65" s="230"/>
      <c r="G65" s="60" t="s">
        <v>158</v>
      </c>
      <c r="H65" s="58" t="s">
        <v>159</v>
      </c>
      <c r="I65" s="59">
        <f>VLOOKUP(H65,Criterios!$B$3:$C$6,2,FALSE)</f>
        <v>0</v>
      </c>
      <c r="J65" s="58" t="s">
        <v>159</v>
      </c>
      <c r="K65" s="59">
        <f>VLOOKUP(J65,Criterios!$B$7:$C$9,2,FALSE)</f>
        <v>0</v>
      </c>
      <c r="L65" s="58"/>
      <c r="M65" s="58"/>
      <c r="N65" s="58"/>
      <c r="O65" s="58"/>
      <c r="P65" s="58"/>
      <c r="Q65" s="57">
        <f t="shared" si="1"/>
        <v>0</v>
      </c>
      <c r="R65" s="57">
        <f>(R64-(R64*Q65))</f>
        <v>7.1999999999999995E-2</v>
      </c>
      <c r="S65" s="219"/>
      <c r="T65" s="204"/>
      <c r="U65" s="207"/>
      <c r="V65" s="118"/>
    </row>
    <row r="66" spans="1:23" s="47" customFormat="1" ht="13.8" x14ac:dyDescent="0.25">
      <c r="B66" s="226"/>
      <c r="C66" s="226"/>
      <c r="D66" s="198"/>
      <c r="E66" s="201"/>
      <c r="F66" s="221" t="s">
        <v>161</v>
      </c>
      <c r="G66" s="56" t="s">
        <v>162</v>
      </c>
      <c r="H66" s="58" t="s">
        <v>159</v>
      </c>
      <c r="I66" s="55">
        <f>VLOOKUP(H66,Criterios!$B$3:$C$6,2,FALSE)</f>
        <v>0</v>
      </c>
      <c r="J66" s="58" t="s">
        <v>159</v>
      </c>
      <c r="K66" s="55">
        <f>VLOOKUP(J66,Criterios!$B$7:$C$9,2,FALSE)</f>
        <v>0</v>
      </c>
      <c r="L66" s="54"/>
      <c r="M66" s="54"/>
      <c r="N66" s="54"/>
      <c r="O66" s="54"/>
      <c r="P66" s="54"/>
      <c r="Q66" s="53">
        <f t="shared" si="1"/>
        <v>0</v>
      </c>
      <c r="R66" s="53">
        <f>IF(Q66&gt;1%,(R65-(R65*Q66)),Q66)</f>
        <v>0</v>
      </c>
      <c r="S66" s="212">
        <f>IF(R67&gt;1%,R67,R66)</f>
        <v>0</v>
      </c>
      <c r="T66" s="204"/>
      <c r="U66" s="207"/>
      <c r="V66" s="118"/>
    </row>
    <row r="67" spans="1:23" s="47" customFormat="1" ht="13.8" x14ac:dyDescent="0.25">
      <c r="B67" s="227"/>
      <c r="C67" s="227"/>
      <c r="D67" s="199"/>
      <c r="E67" s="202"/>
      <c r="F67" s="222"/>
      <c r="G67" s="52" t="s">
        <v>158</v>
      </c>
      <c r="H67" s="50" t="s">
        <v>159</v>
      </c>
      <c r="I67" s="51">
        <f>VLOOKUP(H67,Criterios!$B$3:$C$6,2,FALSE)</f>
        <v>0</v>
      </c>
      <c r="J67" s="50" t="s">
        <v>159</v>
      </c>
      <c r="K67" s="51">
        <f>VLOOKUP(J67,Criterios!$B$7:$C$9,2,FALSE)</f>
        <v>0</v>
      </c>
      <c r="L67" s="50"/>
      <c r="M67" s="50"/>
      <c r="N67" s="50"/>
      <c r="O67" s="50"/>
      <c r="P67" s="50"/>
      <c r="Q67" s="49">
        <f t="shared" si="1"/>
        <v>0</v>
      </c>
      <c r="R67" s="49">
        <f>IF(Q67&gt;1%,(R66-(R66*Q67)),Q67)</f>
        <v>0</v>
      </c>
      <c r="S67" s="213"/>
      <c r="T67" s="205"/>
      <c r="U67" s="208"/>
      <c r="V67" s="118"/>
    </row>
    <row r="68" spans="1:23" s="68" customFormat="1" ht="105.6" x14ac:dyDescent="0.25">
      <c r="B68" s="197" t="s">
        <v>94</v>
      </c>
      <c r="C68" s="197" t="s">
        <v>96</v>
      </c>
      <c r="D68" s="197" t="s">
        <v>166</v>
      </c>
      <c r="E68" s="200">
        <f>VLOOKUP(D68,Criterios!$A$20:$B$24,2,FALSE)</f>
        <v>0.6</v>
      </c>
      <c r="F68" s="229" t="s">
        <v>95</v>
      </c>
      <c r="G68" s="66" t="s">
        <v>167</v>
      </c>
      <c r="H68" s="64" t="s">
        <v>152</v>
      </c>
      <c r="I68" s="65">
        <f>VLOOKUP(H68,Criterios!$B$3:$C$6,2,FALSE)</f>
        <v>0.25</v>
      </c>
      <c r="J68" s="64" t="s">
        <v>62</v>
      </c>
      <c r="K68" s="65">
        <f>VLOOKUP(J68,Criterios!$B$7:$C$9,2,FALSE)</f>
        <v>0.15</v>
      </c>
      <c r="L68" s="64" t="s">
        <v>153</v>
      </c>
      <c r="M68" s="64" t="s">
        <v>154</v>
      </c>
      <c r="N68" s="64" t="s">
        <v>155</v>
      </c>
      <c r="O68" s="64" t="s">
        <v>156</v>
      </c>
      <c r="P68" s="64" t="s">
        <v>157</v>
      </c>
      <c r="Q68" s="63">
        <f t="shared" si="1"/>
        <v>0.4</v>
      </c>
      <c r="R68" s="63">
        <f>(E68-(E68*Q68))</f>
        <v>0.36</v>
      </c>
      <c r="S68" s="228">
        <f>IF(R69&gt;1%,R69,R68)</f>
        <v>0.36</v>
      </c>
      <c r="T68" s="203">
        <f>IF(S72&gt;1%,S72,(IF(S70&gt;1%,S70,S68)))</f>
        <v>0.12959999999999999</v>
      </c>
      <c r="U68" s="206" t="str">
        <f>IF(T68&lt;=20%,Criterios!$A$20,IF(T68&lt;=40%,Criterios!$A$21,IF(T68&lt;=60%,Criterios!$A$22,IF(T68&lt;=80,Criterios!$A$23,Criterios!$A$24))))</f>
        <v>Muy baja</v>
      </c>
      <c r="V68" s="116" t="s">
        <v>183</v>
      </c>
    </row>
    <row r="69" spans="1:23" s="68" customFormat="1" ht="13.8" x14ac:dyDescent="0.25">
      <c r="B69" s="198"/>
      <c r="C69" s="198"/>
      <c r="D69" s="198"/>
      <c r="E69" s="201"/>
      <c r="F69" s="230"/>
      <c r="G69" s="60" t="s">
        <v>158</v>
      </c>
      <c r="H69" s="58" t="s">
        <v>159</v>
      </c>
      <c r="I69" s="59">
        <f>VLOOKUP(H69,Criterios!$B$3:$C$6,2,FALSE)</f>
        <v>0</v>
      </c>
      <c r="J69" s="58" t="s">
        <v>159</v>
      </c>
      <c r="K69" s="59">
        <f>VLOOKUP(J69,Criterios!$B$7:$C$9,2,FALSE)</f>
        <v>0</v>
      </c>
      <c r="L69" s="58"/>
      <c r="M69" s="58"/>
      <c r="N69" s="58"/>
      <c r="O69" s="58"/>
      <c r="P69" s="58"/>
      <c r="Q69" s="57">
        <f t="shared" si="1"/>
        <v>0</v>
      </c>
      <c r="R69" s="57">
        <f>(R68-(R68*Q69))</f>
        <v>0.36</v>
      </c>
      <c r="S69" s="219"/>
      <c r="T69" s="204"/>
      <c r="U69" s="207"/>
      <c r="V69" s="119"/>
    </row>
    <row r="70" spans="1:23" s="68" customFormat="1" ht="145.19999999999999" x14ac:dyDescent="0.25">
      <c r="B70" s="198"/>
      <c r="C70" s="198"/>
      <c r="D70" s="198"/>
      <c r="E70" s="201"/>
      <c r="F70" s="230" t="s">
        <v>104</v>
      </c>
      <c r="G70" s="60" t="s">
        <v>168</v>
      </c>
      <c r="H70" s="58" t="s">
        <v>152</v>
      </c>
      <c r="I70" s="59">
        <f>VLOOKUP(H70,Criterios!$B$3:$C$6,2,FALSE)</f>
        <v>0.25</v>
      </c>
      <c r="J70" s="58" t="s">
        <v>62</v>
      </c>
      <c r="K70" s="59">
        <f>VLOOKUP(J70,Criterios!$B$7:$C$9,2,FALSE)</f>
        <v>0.15</v>
      </c>
      <c r="L70" s="58" t="s">
        <v>153</v>
      </c>
      <c r="M70" s="58" t="s">
        <v>154</v>
      </c>
      <c r="N70" s="58" t="s">
        <v>155</v>
      </c>
      <c r="O70" s="58" t="s">
        <v>156</v>
      </c>
      <c r="P70" s="58" t="s">
        <v>157</v>
      </c>
      <c r="Q70" s="57">
        <f t="shared" si="1"/>
        <v>0.4</v>
      </c>
      <c r="R70" s="57">
        <f>IF(Q70&gt;1%,(R69-(R69*Q70)),Q70)</f>
        <v>0.216</v>
      </c>
      <c r="S70" s="219">
        <f>IF(R71&gt;1%,R71,R70)</f>
        <v>0.216</v>
      </c>
      <c r="T70" s="204"/>
      <c r="U70" s="207"/>
      <c r="V70" s="116" t="s">
        <v>180</v>
      </c>
    </row>
    <row r="71" spans="1:23" s="68" customFormat="1" ht="13.8" x14ac:dyDescent="0.25">
      <c r="B71" s="198"/>
      <c r="C71" s="198"/>
      <c r="D71" s="198"/>
      <c r="E71" s="201"/>
      <c r="F71" s="230"/>
      <c r="G71" s="60" t="s">
        <v>158</v>
      </c>
      <c r="H71" s="58" t="s">
        <v>159</v>
      </c>
      <c r="I71" s="59">
        <f>VLOOKUP(H71,Criterios!$B$3:$C$6,2,FALSE)</f>
        <v>0</v>
      </c>
      <c r="J71" s="58" t="s">
        <v>159</v>
      </c>
      <c r="K71" s="59">
        <f>VLOOKUP(J71,Criterios!$B$7:$C$9,2,FALSE)</f>
        <v>0</v>
      </c>
      <c r="L71" s="58"/>
      <c r="M71" s="58"/>
      <c r="N71" s="58"/>
      <c r="O71" s="58"/>
      <c r="P71" s="58"/>
      <c r="Q71" s="57">
        <f t="shared" si="1"/>
        <v>0</v>
      </c>
      <c r="R71" s="57">
        <f>(R70-(R70*Q71))</f>
        <v>0.216</v>
      </c>
      <c r="S71" s="219"/>
      <c r="T71" s="204"/>
      <c r="U71" s="207"/>
      <c r="V71" s="119"/>
    </row>
    <row r="72" spans="1:23" s="68" customFormat="1" ht="145.19999999999999" x14ac:dyDescent="0.25">
      <c r="B72" s="198"/>
      <c r="C72" s="198"/>
      <c r="D72" s="198"/>
      <c r="E72" s="201"/>
      <c r="F72" s="230" t="s">
        <v>169</v>
      </c>
      <c r="G72" s="56" t="s">
        <v>170</v>
      </c>
      <c r="H72" s="54" t="s">
        <v>152</v>
      </c>
      <c r="I72" s="55">
        <f>VLOOKUP(H72,Criterios!$B$3:$C$6,2,FALSE)</f>
        <v>0.25</v>
      </c>
      <c r="J72" s="54" t="s">
        <v>62</v>
      </c>
      <c r="K72" s="55">
        <f>VLOOKUP(J72,Criterios!$B$7:$C$9,2,FALSE)</f>
        <v>0.15</v>
      </c>
      <c r="L72" s="54" t="s">
        <v>153</v>
      </c>
      <c r="M72" s="54" t="s">
        <v>154</v>
      </c>
      <c r="N72" s="54" t="s">
        <v>155</v>
      </c>
      <c r="O72" s="54" t="s">
        <v>156</v>
      </c>
      <c r="P72" s="54" t="s">
        <v>157</v>
      </c>
      <c r="Q72" s="53">
        <f t="shared" si="1"/>
        <v>0.4</v>
      </c>
      <c r="R72" s="53">
        <f>IF(Q72&gt;1%,(R71-(R71*Q72)),Q72)</f>
        <v>0.12959999999999999</v>
      </c>
      <c r="S72" s="212">
        <f>IF(R73&gt;1%,R73,R72)</f>
        <v>0.12959999999999999</v>
      </c>
      <c r="T72" s="204"/>
      <c r="U72" s="207"/>
      <c r="V72" s="116" t="s">
        <v>180</v>
      </c>
    </row>
    <row r="73" spans="1:23" x14ac:dyDescent="0.25">
      <c r="B73" s="198"/>
      <c r="C73" s="198"/>
      <c r="D73" s="198"/>
      <c r="E73" s="201"/>
      <c r="F73" s="230"/>
      <c r="G73" s="52" t="s">
        <v>158</v>
      </c>
      <c r="H73" s="50" t="s">
        <v>159</v>
      </c>
      <c r="I73" s="51">
        <f>VLOOKUP(H73,Criterios!$B$3:$C$6,2,FALSE)</f>
        <v>0</v>
      </c>
      <c r="J73" s="50" t="s">
        <v>159</v>
      </c>
      <c r="K73" s="51">
        <f>VLOOKUP(J73,Criterios!$B$7:$C$9,2,FALSE)</f>
        <v>0</v>
      </c>
      <c r="L73" s="50"/>
      <c r="M73" s="50"/>
      <c r="N73" s="50"/>
      <c r="O73" s="50"/>
      <c r="P73" s="50"/>
      <c r="Q73" s="49">
        <f t="shared" si="1"/>
        <v>0</v>
      </c>
      <c r="R73" s="49">
        <f>IF(Q73&gt;1%,(R72-(R72*Q73)),Q73)</f>
        <v>0</v>
      </c>
      <c r="S73" s="213"/>
      <c r="T73" s="204"/>
      <c r="U73" s="207"/>
      <c r="V73" s="67"/>
    </row>
    <row r="74" spans="1:23" ht="118.8" x14ac:dyDescent="0.25">
      <c r="A74" s="61"/>
      <c r="B74" s="198"/>
      <c r="C74" s="198"/>
      <c r="D74" s="198"/>
      <c r="E74" s="201"/>
      <c r="F74" s="210" t="s">
        <v>171</v>
      </c>
      <c r="G74" s="56" t="s">
        <v>172</v>
      </c>
      <c r="H74" s="54" t="s">
        <v>152</v>
      </c>
      <c r="I74" s="55">
        <f>VLOOKUP(H74,Criterios!$B$3:$C$6,2,FALSE)</f>
        <v>0.25</v>
      </c>
      <c r="J74" s="54" t="s">
        <v>62</v>
      </c>
      <c r="K74" s="55">
        <f>VLOOKUP(J74,Criterios!$B$7:$C$9,2,FALSE)</f>
        <v>0.15</v>
      </c>
      <c r="L74" s="58" t="s">
        <v>153</v>
      </c>
      <c r="M74" s="54" t="s">
        <v>154</v>
      </c>
      <c r="N74" s="54" t="s">
        <v>155</v>
      </c>
      <c r="O74" s="54" t="s">
        <v>156</v>
      </c>
      <c r="P74" s="54" t="s">
        <v>157</v>
      </c>
      <c r="Q74" s="53">
        <f t="shared" si="1"/>
        <v>0.4</v>
      </c>
      <c r="R74" s="53">
        <f>IF(Q74&gt;1%,(R73-(R73*Q74)),Q74)</f>
        <v>0</v>
      </c>
      <c r="S74" s="212">
        <f>IF(R75&gt;1%,R75,R74)</f>
        <v>0</v>
      </c>
      <c r="T74" s="204"/>
      <c r="U74" s="207"/>
      <c r="V74" s="116" t="s">
        <v>180</v>
      </c>
    </row>
    <row r="75" spans="1:23" ht="14.4" x14ac:dyDescent="0.25">
      <c r="A75" s="61"/>
      <c r="B75" s="199"/>
      <c r="C75" s="199"/>
      <c r="D75" s="199"/>
      <c r="E75" s="202"/>
      <c r="F75" s="211"/>
      <c r="G75" s="52" t="s">
        <v>158</v>
      </c>
      <c r="H75" s="50" t="s">
        <v>159</v>
      </c>
      <c r="I75" s="51">
        <f>VLOOKUP(H75,Criterios!$B$3:$C$6,2,FALSE)</f>
        <v>0</v>
      </c>
      <c r="J75" s="50" t="s">
        <v>159</v>
      </c>
      <c r="K75" s="51">
        <f>VLOOKUP(J75,Criterios!$B$7:$C$9,2,FALSE)</f>
        <v>0</v>
      </c>
      <c r="L75" s="54"/>
      <c r="M75" s="50"/>
      <c r="N75" s="50"/>
      <c r="O75" s="50"/>
      <c r="P75" s="50"/>
      <c r="Q75" s="49">
        <f t="shared" si="1"/>
        <v>0</v>
      </c>
      <c r="R75" s="49">
        <f>IF(Q75&gt;1%,(R74-(R74*Q75)),Q75)</f>
        <v>0</v>
      </c>
      <c r="S75" s="213"/>
      <c r="T75" s="205"/>
      <c r="U75" s="208"/>
      <c r="V75" s="67"/>
    </row>
    <row r="76" spans="1:23" x14ac:dyDescent="0.25">
      <c r="B76" s="46"/>
      <c r="C76" s="46"/>
      <c r="D76" s="46"/>
      <c r="E76" s="46"/>
      <c r="F76" s="46"/>
      <c r="G76" s="46"/>
      <c r="J76" s="43"/>
      <c r="K76" s="43"/>
      <c r="L76" s="43"/>
      <c r="M76" s="43"/>
      <c r="N76" s="43"/>
      <c r="O76" s="43"/>
      <c r="P76" s="43"/>
      <c r="Q76" s="43"/>
      <c r="R76" s="43"/>
      <c r="S76" s="43"/>
      <c r="T76" s="45"/>
      <c r="U76" s="43"/>
    </row>
    <row r="77" spans="1:23" ht="5.25" customHeight="1" x14ac:dyDescent="0.25"/>
    <row r="79" spans="1:23" ht="6.75" customHeight="1" x14ac:dyDescent="0.25">
      <c r="A79" s="47"/>
      <c r="B79" s="46"/>
      <c r="C79" s="46"/>
      <c r="D79" s="46"/>
      <c r="E79" s="46"/>
      <c r="F79" s="46"/>
      <c r="G79" s="46"/>
      <c r="J79" s="43"/>
      <c r="K79" s="43"/>
      <c r="L79" s="43"/>
      <c r="M79" s="43"/>
      <c r="N79" s="43"/>
      <c r="O79" s="43"/>
      <c r="P79" s="43"/>
      <c r="Q79" s="43"/>
      <c r="R79" s="43"/>
      <c r="S79" s="43"/>
      <c r="T79" s="43"/>
      <c r="U79" s="43"/>
    </row>
    <row r="80" spans="1:23" ht="16.5" customHeight="1" x14ac:dyDescent="0.25">
      <c r="A80" s="47"/>
      <c r="B80" s="233" t="s">
        <v>184</v>
      </c>
      <c r="C80" s="233"/>
      <c r="D80" s="233"/>
      <c r="E80" s="233"/>
      <c r="F80" s="233"/>
      <c r="G80" s="233"/>
      <c r="H80" s="233"/>
      <c r="I80" s="233"/>
      <c r="J80" s="233"/>
      <c r="K80" s="233"/>
      <c r="L80" s="233"/>
      <c r="M80" s="233"/>
      <c r="N80" s="233"/>
      <c r="O80" s="233"/>
      <c r="P80" s="233"/>
      <c r="Q80" s="233"/>
      <c r="R80" s="233"/>
      <c r="S80" s="233"/>
      <c r="T80" s="233"/>
      <c r="U80" s="233"/>
      <c r="V80" s="233"/>
      <c r="W80" s="233"/>
    </row>
    <row r="81" spans="1:23" ht="13.8" x14ac:dyDescent="0.25">
      <c r="A81" s="47"/>
      <c r="B81" s="73"/>
      <c r="C81" s="73"/>
      <c r="D81" s="72"/>
      <c r="E81" s="72"/>
      <c r="F81" s="72"/>
      <c r="H81" s="74"/>
      <c r="I81" s="74"/>
      <c r="J81" s="74"/>
      <c r="K81" s="74"/>
      <c r="L81" s="74"/>
    </row>
    <row r="82" spans="1:23" ht="15" customHeight="1" x14ac:dyDescent="0.25">
      <c r="A82" s="47"/>
      <c r="B82" s="192" t="s">
        <v>124</v>
      </c>
      <c r="C82" s="193"/>
      <c r="D82" s="224" t="s">
        <v>185</v>
      </c>
      <c r="E82" s="224"/>
      <c r="F82" s="74" t="s">
        <v>125</v>
      </c>
      <c r="G82" s="194" t="s">
        <v>176</v>
      </c>
      <c r="H82" s="196"/>
      <c r="I82" s="191" t="s">
        <v>177</v>
      </c>
      <c r="J82" s="192"/>
      <c r="K82" s="192"/>
      <c r="L82" s="192"/>
      <c r="M82" s="193"/>
      <c r="N82" s="194" t="s">
        <v>186</v>
      </c>
      <c r="O82" s="195"/>
      <c r="P82" s="195"/>
      <c r="Q82" s="195"/>
      <c r="R82" s="196"/>
      <c r="T82" s="43"/>
      <c r="U82" s="43"/>
    </row>
    <row r="83" spans="1:23" ht="13.8" x14ac:dyDescent="0.25">
      <c r="A83" s="47"/>
      <c r="B83" s="73"/>
      <c r="C83" s="73"/>
      <c r="D83" s="72"/>
      <c r="E83" s="72"/>
      <c r="F83" s="72"/>
      <c r="H83" s="234"/>
      <c r="I83" s="234"/>
      <c r="J83" s="234"/>
      <c r="K83" s="234"/>
      <c r="L83" s="234"/>
    </row>
    <row r="84" spans="1:23" s="68" customFormat="1" ht="28.5" customHeight="1" x14ac:dyDescent="0.25">
      <c r="B84" s="209" t="s">
        <v>128</v>
      </c>
      <c r="C84" s="209" t="s">
        <v>129</v>
      </c>
      <c r="D84" s="209" t="s">
        <v>130</v>
      </c>
      <c r="E84" s="209"/>
      <c r="F84" s="237" t="s">
        <v>131</v>
      </c>
      <c r="G84" s="209" t="s">
        <v>132</v>
      </c>
      <c r="H84" s="214" t="s">
        <v>133</v>
      </c>
      <c r="I84" s="215"/>
      <c r="J84" s="215"/>
      <c r="K84" s="215"/>
      <c r="L84" s="215"/>
      <c r="M84" s="215"/>
      <c r="N84" s="215"/>
      <c r="O84" s="215"/>
      <c r="P84" s="216"/>
      <c r="Q84" s="220" t="s">
        <v>134</v>
      </c>
      <c r="R84" s="220"/>
      <c r="S84" s="220"/>
      <c r="T84" s="220"/>
      <c r="U84" s="235" t="s">
        <v>135</v>
      </c>
      <c r="V84" s="236" t="s">
        <v>179</v>
      </c>
      <c r="W84" s="236" t="s">
        <v>187</v>
      </c>
    </row>
    <row r="85" spans="1:23" s="68" customFormat="1" ht="21.75" customHeight="1" x14ac:dyDescent="0.25">
      <c r="B85" s="209"/>
      <c r="C85" s="209"/>
      <c r="D85" s="209"/>
      <c r="E85" s="209"/>
      <c r="F85" s="238"/>
      <c r="G85" s="209"/>
      <c r="H85" s="214" t="s">
        <v>136</v>
      </c>
      <c r="I85" s="215"/>
      <c r="J85" s="215"/>
      <c r="K85" s="216"/>
      <c r="L85" s="214" t="s">
        <v>137</v>
      </c>
      <c r="M85" s="215"/>
      <c r="N85" s="215"/>
      <c r="O85" s="215"/>
      <c r="P85" s="216"/>
      <c r="Q85" s="217" t="s">
        <v>138</v>
      </c>
      <c r="R85" s="217" t="s">
        <v>139</v>
      </c>
      <c r="S85" s="217" t="s">
        <v>140</v>
      </c>
      <c r="T85" s="231" t="s">
        <v>141</v>
      </c>
      <c r="U85" s="235" t="s">
        <v>142</v>
      </c>
      <c r="V85" s="236"/>
      <c r="W85" s="236"/>
    </row>
    <row r="86" spans="1:23" s="68" customFormat="1" ht="66" x14ac:dyDescent="0.25">
      <c r="B86" s="209"/>
      <c r="C86" s="209"/>
      <c r="D86" s="70" t="s">
        <v>143</v>
      </c>
      <c r="E86" s="70" t="s">
        <v>36</v>
      </c>
      <c r="F86" s="239"/>
      <c r="G86" s="209"/>
      <c r="H86" s="70" t="s">
        <v>144</v>
      </c>
      <c r="I86" s="70" t="s">
        <v>145</v>
      </c>
      <c r="J86" s="70" t="s">
        <v>146</v>
      </c>
      <c r="K86" s="70" t="s">
        <v>145</v>
      </c>
      <c r="L86" s="70" t="s">
        <v>147</v>
      </c>
      <c r="M86" s="71" t="s">
        <v>38</v>
      </c>
      <c r="N86" s="71" t="s">
        <v>148</v>
      </c>
      <c r="O86" s="71" t="s">
        <v>149</v>
      </c>
      <c r="P86" s="70" t="s">
        <v>150</v>
      </c>
      <c r="Q86" s="218"/>
      <c r="R86" s="218"/>
      <c r="S86" s="218"/>
      <c r="T86" s="232"/>
      <c r="U86" s="235"/>
      <c r="V86" s="236"/>
      <c r="W86" s="236"/>
    </row>
    <row r="87" spans="1:23" s="61" customFormat="1" ht="145.19999999999999" x14ac:dyDescent="0.25">
      <c r="B87" s="225" t="s">
        <v>53</v>
      </c>
      <c r="C87" s="225" t="s">
        <v>55</v>
      </c>
      <c r="D87" s="197" t="s">
        <v>151</v>
      </c>
      <c r="E87" s="200">
        <f>VLOOKUP(D87,[1]Criterios!$A$20:$B$24,2,FALSE)</f>
        <v>0.4</v>
      </c>
      <c r="F87" s="229" t="s">
        <v>54</v>
      </c>
      <c r="G87" s="66" t="s">
        <v>60</v>
      </c>
      <c r="H87" s="64" t="s">
        <v>152</v>
      </c>
      <c r="I87" s="65">
        <f>VLOOKUP(H87,[1]Criterios!$B$3:$C$6,2,FALSE)</f>
        <v>0.25</v>
      </c>
      <c r="J87" s="64" t="s">
        <v>62</v>
      </c>
      <c r="K87" s="65">
        <f>VLOOKUP(J87,[1]Criterios!$B$7:$C$9,2,FALSE)</f>
        <v>0.15</v>
      </c>
      <c r="L87" s="64" t="s">
        <v>153</v>
      </c>
      <c r="M87" s="64" t="s">
        <v>154</v>
      </c>
      <c r="N87" s="64" t="s">
        <v>155</v>
      </c>
      <c r="O87" s="64" t="s">
        <v>156</v>
      </c>
      <c r="P87" s="64" t="s">
        <v>157</v>
      </c>
      <c r="Q87" s="63">
        <f t="shared" ref="Q87:Q106" si="2">+I87+K87</f>
        <v>0.4</v>
      </c>
      <c r="R87" s="63">
        <f>(E87-(E87*Q87))</f>
        <v>0.24</v>
      </c>
      <c r="S87" s="228">
        <f>IF(R88&gt;1%,R88,R87)</f>
        <v>0.24</v>
      </c>
      <c r="T87" s="203">
        <f>IF(S91&gt;1%,S91,(IF(S89&gt;1%,S89,S87)))</f>
        <v>0.14399999999999999</v>
      </c>
      <c r="U87" s="206" t="str">
        <f>IF(T87&lt;=20%,[1]Criterios!$A$20,IF(T87&lt;=40%,[1]Criterios!$A$21,IF(T87&lt;=60%,[1]Criterios!$A$22,IF(T87&lt;=80,[1]Criterios!$A$23,[1]Criterios!$A$24))))</f>
        <v>Muy baja</v>
      </c>
      <c r="V87" s="122" t="s">
        <v>188</v>
      </c>
      <c r="W87" s="122" t="s">
        <v>189</v>
      </c>
    </row>
    <row r="88" spans="1:23" s="61" customFormat="1" ht="14.4" x14ac:dyDescent="0.25">
      <c r="B88" s="226"/>
      <c r="C88" s="226"/>
      <c r="D88" s="198"/>
      <c r="E88" s="201"/>
      <c r="F88" s="230"/>
      <c r="G88" s="60" t="s">
        <v>158</v>
      </c>
      <c r="H88" s="58" t="s">
        <v>159</v>
      </c>
      <c r="I88" s="59">
        <f>VLOOKUP(H88,[1]Criterios!$B$3:$C$6,2,FALSE)</f>
        <v>0</v>
      </c>
      <c r="J88" s="58" t="s">
        <v>159</v>
      </c>
      <c r="K88" s="59">
        <f>VLOOKUP(J88,[1]Criterios!$B$7:$C$9,2,FALSE)</f>
        <v>0</v>
      </c>
      <c r="L88" s="58"/>
      <c r="M88" s="58"/>
      <c r="N88" s="58"/>
      <c r="O88" s="58"/>
      <c r="P88" s="58"/>
      <c r="Q88" s="57">
        <f t="shared" si="2"/>
        <v>0</v>
      </c>
      <c r="R88" s="57">
        <f>(R87-(R87*Q88))</f>
        <v>0.24</v>
      </c>
      <c r="S88" s="219"/>
      <c r="T88" s="204"/>
      <c r="U88" s="207"/>
      <c r="V88" s="62"/>
      <c r="W88" s="123"/>
    </row>
    <row r="89" spans="1:23" s="61" customFormat="1" ht="184.8" x14ac:dyDescent="0.25">
      <c r="B89" s="226"/>
      <c r="C89" s="226"/>
      <c r="D89" s="198"/>
      <c r="E89" s="201"/>
      <c r="F89" s="230" t="s">
        <v>73</v>
      </c>
      <c r="G89" s="60" t="s">
        <v>181</v>
      </c>
      <c r="H89" s="58" t="s">
        <v>152</v>
      </c>
      <c r="I89" s="59">
        <f>VLOOKUP(H89,[1]Criterios!$B$3:$C$6,2,FALSE)</f>
        <v>0.25</v>
      </c>
      <c r="J89" s="58" t="s">
        <v>62</v>
      </c>
      <c r="K89" s="59">
        <f>VLOOKUP(J89,[1]Criterios!$B$7:$C$9,2,FALSE)</f>
        <v>0.15</v>
      </c>
      <c r="L89" s="58" t="s">
        <v>153</v>
      </c>
      <c r="M89" s="58" t="s">
        <v>154</v>
      </c>
      <c r="N89" s="58" t="s">
        <v>155</v>
      </c>
      <c r="O89" s="58" t="s">
        <v>156</v>
      </c>
      <c r="P89" s="58" t="s">
        <v>157</v>
      </c>
      <c r="Q89" s="57">
        <f t="shared" si="2"/>
        <v>0.4</v>
      </c>
      <c r="R89" s="57">
        <f>IF(Q89&gt;1%,(R88-(R88*Q89)),Q89)</f>
        <v>0.14399999999999999</v>
      </c>
      <c r="S89" s="219">
        <f>IF(R90&gt;1%,R90,R89)</f>
        <v>0.14399999999999999</v>
      </c>
      <c r="T89" s="204"/>
      <c r="U89" s="207"/>
      <c r="V89" s="122" t="s">
        <v>188</v>
      </c>
      <c r="W89" s="122" t="s">
        <v>296</v>
      </c>
    </row>
    <row r="90" spans="1:23" s="61" customFormat="1" ht="14.4" x14ac:dyDescent="0.25">
      <c r="B90" s="226"/>
      <c r="C90" s="226"/>
      <c r="D90" s="198"/>
      <c r="E90" s="201"/>
      <c r="F90" s="230"/>
      <c r="G90" s="60" t="s">
        <v>158</v>
      </c>
      <c r="H90" s="58" t="s">
        <v>159</v>
      </c>
      <c r="I90" s="59">
        <f>VLOOKUP(H90,[1]Criterios!$B$3:$C$6,2,FALSE)</f>
        <v>0</v>
      </c>
      <c r="J90" s="58" t="s">
        <v>159</v>
      </c>
      <c r="K90" s="59">
        <f>VLOOKUP(J90,[1]Criterios!$B$7:$C$9,2,FALSE)</f>
        <v>0</v>
      </c>
      <c r="L90" s="58"/>
      <c r="M90" s="58"/>
      <c r="N90" s="58"/>
      <c r="O90" s="58"/>
      <c r="P90" s="58"/>
      <c r="Q90" s="57">
        <f t="shared" si="2"/>
        <v>0</v>
      </c>
      <c r="R90" s="57">
        <f>(R89-(R89*Q90))</f>
        <v>0.14399999999999999</v>
      </c>
      <c r="S90" s="219"/>
      <c r="T90" s="204"/>
      <c r="U90" s="207"/>
      <c r="V90" s="62"/>
      <c r="W90" s="123"/>
    </row>
    <row r="91" spans="1:23" s="61" customFormat="1" ht="14.4" x14ac:dyDescent="0.25">
      <c r="B91" s="226"/>
      <c r="C91" s="226"/>
      <c r="D91" s="198"/>
      <c r="E91" s="201"/>
      <c r="F91" s="221" t="s">
        <v>161</v>
      </c>
      <c r="G91" s="56" t="s">
        <v>162</v>
      </c>
      <c r="H91" s="58" t="s">
        <v>159</v>
      </c>
      <c r="I91" s="55">
        <f>VLOOKUP(H91,[1]Criterios!$B$3:$C$6,2,FALSE)</f>
        <v>0</v>
      </c>
      <c r="J91" s="58" t="s">
        <v>159</v>
      </c>
      <c r="K91" s="55">
        <f>VLOOKUP(J91,[1]Criterios!$B$7:$C$9,2,FALSE)</f>
        <v>0</v>
      </c>
      <c r="L91" s="54"/>
      <c r="M91" s="54"/>
      <c r="N91" s="54"/>
      <c r="O91" s="54"/>
      <c r="P91" s="54"/>
      <c r="Q91" s="53">
        <f t="shared" si="2"/>
        <v>0</v>
      </c>
      <c r="R91" s="53">
        <f>IF(Q91&gt;1%,(R90-(R90*Q91)),Q91)</f>
        <v>0</v>
      </c>
      <c r="S91" s="212">
        <f>IF(R92&gt;1%,R92,R91)</f>
        <v>0</v>
      </c>
      <c r="T91" s="204"/>
      <c r="U91" s="207"/>
      <c r="V91" s="62"/>
      <c r="W91" s="123"/>
    </row>
    <row r="92" spans="1:23" s="61" customFormat="1" ht="14.4" x14ac:dyDescent="0.25">
      <c r="B92" s="227"/>
      <c r="C92" s="227"/>
      <c r="D92" s="199"/>
      <c r="E92" s="202"/>
      <c r="F92" s="222"/>
      <c r="G92" s="52" t="s">
        <v>158</v>
      </c>
      <c r="H92" s="50" t="s">
        <v>159</v>
      </c>
      <c r="I92" s="51">
        <f>VLOOKUP(H92,[1]Criterios!$B$3:$C$6,2,FALSE)</f>
        <v>0</v>
      </c>
      <c r="J92" s="50" t="s">
        <v>159</v>
      </c>
      <c r="K92" s="51">
        <f>VLOOKUP(J92,[1]Criterios!$B$7:$C$9,2,FALSE)</f>
        <v>0</v>
      </c>
      <c r="L92" s="50"/>
      <c r="M92" s="50"/>
      <c r="N92" s="50"/>
      <c r="O92" s="50"/>
      <c r="P92" s="50"/>
      <c r="Q92" s="49">
        <f t="shared" si="2"/>
        <v>0</v>
      </c>
      <c r="R92" s="49">
        <f>IF(Q92&gt;1%,(R91-(R91*Q92)),Q92)</f>
        <v>0</v>
      </c>
      <c r="S92" s="213"/>
      <c r="T92" s="205"/>
      <c r="U92" s="208"/>
      <c r="V92" s="62"/>
      <c r="W92" s="123"/>
    </row>
    <row r="93" spans="1:23" s="61" customFormat="1" ht="132" x14ac:dyDescent="0.25">
      <c r="B93" s="225" t="s">
        <v>78</v>
      </c>
      <c r="C93" s="225" t="s">
        <v>80</v>
      </c>
      <c r="D93" s="197" t="s">
        <v>163</v>
      </c>
      <c r="E93" s="200">
        <f>VLOOKUP(D93,[1]Criterios!$A$20:$B$24,2,FALSE)</f>
        <v>0.2</v>
      </c>
      <c r="F93" s="229" t="s">
        <v>79</v>
      </c>
      <c r="G93" s="66" t="s">
        <v>164</v>
      </c>
      <c r="H93" s="64" t="s">
        <v>152</v>
      </c>
      <c r="I93" s="65">
        <f>VLOOKUP(H93,[1]Criterios!$B$3:$C$6,2,FALSE)</f>
        <v>0.25</v>
      </c>
      <c r="J93" s="64" t="s">
        <v>62</v>
      </c>
      <c r="K93" s="65">
        <f>VLOOKUP(J93,[1]Criterios!$B$7:$C$9,2,FALSE)</f>
        <v>0.15</v>
      </c>
      <c r="L93" s="64" t="s">
        <v>153</v>
      </c>
      <c r="M93" s="64" t="s">
        <v>154</v>
      </c>
      <c r="N93" s="64" t="s">
        <v>155</v>
      </c>
      <c r="O93" s="64" t="s">
        <v>156</v>
      </c>
      <c r="P93" s="64" t="s">
        <v>157</v>
      </c>
      <c r="Q93" s="63">
        <f t="shared" si="2"/>
        <v>0.4</v>
      </c>
      <c r="R93" s="63">
        <f>(E93-(E93*Q93))</f>
        <v>0.12</v>
      </c>
      <c r="S93" s="228">
        <f>IF(R94&gt;1%,R94,R93)</f>
        <v>0.12</v>
      </c>
      <c r="T93" s="203">
        <f>IF(S97&gt;1%,S97,(IF(S95&gt;1%,S95,S93)))</f>
        <v>7.1999999999999995E-2</v>
      </c>
      <c r="U93" s="206" t="str">
        <f>IF(T93&lt;=20%,[1]Criterios!$A$20,IF(T93&lt;=40%,[1]Criterios!$A$21,IF(T93&lt;=60%,[1]Criterios!$A$22,IF(T93&lt;=80,[1]Criterios!$A$23,[1]Criterios!$A$24))))</f>
        <v>Muy baja</v>
      </c>
      <c r="V93" s="122" t="s">
        <v>188</v>
      </c>
      <c r="W93" s="122" t="s">
        <v>190</v>
      </c>
    </row>
    <row r="94" spans="1:23" s="47" customFormat="1" ht="13.8" x14ac:dyDescent="0.25">
      <c r="B94" s="226"/>
      <c r="C94" s="226"/>
      <c r="D94" s="198"/>
      <c r="E94" s="201"/>
      <c r="F94" s="230"/>
      <c r="G94" s="60" t="s">
        <v>158</v>
      </c>
      <c r="H94" s="58" t="s">
        <v>159</v>
      </c>
      <c r="I94" s="59">
        <f>VLOOKUP(H94,[1]Criterios!$B$3:$C$6,2,FALSE)</f>
        <v>0</v>
      </c>
      <c r="J94" s="58" t="s">
        <v>159</v>
      </c>
      <c r="K94" s="59">
        <f>VLOOKUP(J94,[1]Criterios!$B$7:$C$9,2,FALSE)</f>
        <v>0</v>
      </c>
      <c r="L94" s="58"/>
      <c r="M94" s="58"/>
      <c r="N94" s="58"/>
      <c r="O94" s="58"/>
      <c r="P94" s="58"/>
      <c r="Q94" s="57">
        <f t="shared" si="2"/>
        <v>0</v>
      </c>
      <c r="R94" s="57">
        <f>(R93-(R93*Q94))</f>
        <v>0.12</v>
      </c>
      <c r="S94" s="219"/>
      <c r="T94" s="204"/>
      <c r="U94" s="207"/>
      <c r="V94" s="48"/>
      <c r="W94" s="124"/>
    </row>
    <row r="95" spans="1:23" s="47" customFormat="1" ht="79.2" x14ac:dyDescent="0.25">
      <c r="B95" s="226"/>
      <c r="C95" s="226"/>
      <c r="D95" s="198"/>
      <c r="E95" s="201"/>
      <c r="F95" s="230" t="s">
        <v>89</v>
      </c>
      <c r="G95" s="60" t="s">
        <v>165</v>
      </c>
      <c r="H95" s="58" t="s">
        <v>152</v>
      </c>
      <c r="I95" s="59">
        <f>VLOOKUP(H95,[1]Criterios!$B$3:$C$6,2,FALSE)</f>
        <v>0.25</v>
      </c>
      <c r="J95" s="58" t="s">
        <v>62</v>
      </c>
      <c r="K95" s="59">
        <f>VLOOKUP(J95,[1]Criterios!$B$7:$C$9,2,FALSE)</f>
        <v>0.15</v>
      </c>
      <c r="L95" s="58" t="s">
        <v>153</v>
      </c>
      <c r="M95" s="58" t="s">
        <v>154</v>
      </c>
      <c r="N95" s="58" t="s">
        <v>155</v>
      </c>
      <c r="O95" s="58" t="s">
        <v>156</v>
      </c>
      <c r="P95" s="58" t="s">
        <v>157</v>
      </c>
      <c r="Q95" s="57">
        <f t="shared" si="2"/>
        <v>0.4</v>
      </c>
      <c r="R95" s="57">
        <f>IF(Q95&gt;1%,(R94-(R94*Q95)),Q95)</f>
        <v>7.1999999999999995E-2</v>
      </c>
      <c r="S95" s="219">
        <f>IF(R96&gt;1%,R96,R95)</f>
        <v>7.1999999999999995E-2</v>
      </c>
      <c r="T95" s="204"/>
      <c r="U95" s="207"/>
      <c r="V95" s="122" t="s">
        <v>188</v>
      </c>
      <c r="W95" s="122" t="s">
        <v>190</v>
      </c>
    </row>
    <row r="96" spans="1:23" s="47" customFormat="1" ht="13.8" x14ac:dyDescent="0.25">
      <c r="B96" s="226"/>
      <c r="C96" s="226"/>
      <c r="D96" s="198"/>
      <c r="E96" s="201"/>
      <c r="F96" s="230"/>
      <c r="G96" s="60" t="s">
        <v>158</v>
      </c>
      <c r="H96" s="58" t="s">
        <v>159</v>
      </c>
      <c r="I96" s="59">
        <f>VLOOKUP(H96,[1]Criterios!$B$3:$C$6,2,FALSE)</f>
        <v>0</v>
      </c>
      <c r="J96" s="58" t="s">
        <v>159</v>
      </c>
      <c r="K96" s="59">
        <f>VLOOKUP(J96,[1]Criterios!$B$7:$C$9,2,FALSE)</f>
        <v>0</v>
      </c>
      <c r="L96" s="58"/>
      <c r="M96" s="58"/>
      <c r="N96" s="58"/>
      <c r="O96" s="58"/>
      <c r="P96" s="58"/>
      <c r="Q96" s="57">
        <f t="shared" si="2"/>
        <v>0</v>
      </c>
      <c r="R96" s="57">
        <f>(R95-(R95*Q96))</f>
        <v>7.1999999999999995E-2</v>
      </c>
      <c r="S96" s="219"/>
      <c r="T96" s="204"/>
      <c r="U96" s="207"/>
      <c r="V96" s="48"/>
      <c r="W96" s="124"/>
    </row>
    <row r="97" spans="1:23" s="47" customFormat="1" ht="13.8" x14ac:dyDescent="0.25">
      <c r="B97" s="226"/>
      <c r="C97" s="226"/>
      <c r="D97" s="198"/>
      <c r="E97" s="201"/>
      <c r="F97" s="221" t="s">
        <v>161</v>
      </c>
      <c r="G97" s="56" t="s">
        <v>162</v>
      </c>
      <c r="H97" s="58" t="s">
        <v>159</v>
      </c>
      <c r="I97" s="55">
        <f>VLOOKUP(H97,[1]Criterios!$B$3:$C$6,2,FALSE)</f>
        <v>0</v>
      </c>
      <c r="J97" s="58" t="s">
        <v>159</v>
      </c>
      <c r="K97" s="55">
        <f>VLOOKUP(J97,[1]Criterios!$B$7:$C$9,2,FALSE)</f>
        <v>0</v>
      </c>
      <c r="L97" s="54"/>
      <c r="M97" s="54"/>
      <c r="N97" s="54"/>
      <c r="O97" s="54"/>
      <c r="P97" s="54"/>
      <c r="Q97" s="53">
        <f t="shared" si="2"/>
        <v>0</v>
      </c>
      <c r="R97" s="53">
        <f>IF(Q97&gt;1%,(R96-(R96*Q97)),Q97)</f>
        <v>0</v>
      </c>
      <c r="S97" s="212">
        <f>IF(R98&gt;1%,R98,R97)</f>
        <v>0</v>
      </c>
      <c r="T97" s="204"/>
      <c r="U97" s="207"/>
      <c r="V97" s="48"/>
      <c r="W97" s="124"/>
    </row>
    <row r="98" spans="1:23" s="47" customFormat="1" ht="13.8" x14ac:dyDescent="0.25">
      <c r="B98" s="227"/>
      <c r="C98" s="227"/>
      <c r="D98" s="199"/>
      <c r="E98" s="202"/>
      <c r="F98" s="222"/>
      <c r="G98" s="52" t="s">
        <v>158</v>
      </c>
      <c r="H98" s="50" t="s">
        <v>159</v>
      </c>
      <c r="I98" s="51">
        <f>VLOOKUP(H98,[1]Criterios!$B$3:$C$6,2,FALSE)</f>
        <v>0</v>
      </c>
      <c r="J98" s="50" t="s">
        <v>159</v>
      </c>
      <c r="K98" s="51">
        <f>VLOOKUP(J98,[1]Criterios!$B$7:$C$9,2,FALSE)</f>
        <v>0</v>
      </c>
      <c r="L98" s="50"/>
      <c r="M98" s="50"/>
      <c r="N98" s="50"/>
      <c r="O98" s="50"/>
      <c r="P98" s="50"/>
      <c r="Q98" s="49">
        <f t="shared" si="2"/>
        <v>0</v>
      </c>
      <c r="R98" s="49">
        <f>IF(Q98&gt;1%,(R97-(R97*Q98)),Q98)</f>
        <v>0</v>
      </c>
      <c r="S98" s="213"/>
      <c r="T98" s="205"/>
      <c r="U98" s="208"/>
      <c r="V98" s="48"/>
      <c r="W98" s="124"/>
    </row>
    <row r="99" spans="1:23" s="68" customFormat="1" ht="237.6" x14ac:dyDescent="0.25">
      <c r="B99" s="197" t="s">
        <v>94</v>
      </c>
      <c r="C99" s="197" t="s">
        <v>96</v>
      </c>
      <c r="D99" s="197" t="s">
        <v>166</v>
      </c>
      <c r="E99" s="200">
        <f>VLOOKUP(D99,[1]Criterios!$A$20:$B$24,2,FALSE)</f>
        <v>0.6</v>
      </c>
      <c r="F99" s="229" t="s">
        <v>95</v>
      </c>
      <c r="G99" s="66" t="s">
        <v>167</v>
      </c>
      <c r="H99" s="64" t="s">
        <v>152</v>
      </c>
      <c r="I99" s="65">
        <f>VLOOKUP(H99,[1]Criterios!$B$3:$C$6,2,FALSE)</f>
        <v>0.25</v>
      </c>
      <c r="J99" s="64" t="s">
        <v>62</v>
      </c>
      <c r="K99" s="65">
        <f>VLOOKUP(J99,[1]Criterios!$B$7:$C$9,2,FALSE)</f>
        <v>0.15</v>
      </c>
      <c r="L99" s="64" t="s">
        <v>153</v>
      </c>
      <c r="M99" s="64" t="s">
        <v>154</v>
      </c>
      <c r="N99" s="64" t="s">
        <v>155</v>
      </c>
      <c r="O99" s="64" t="s">
        <v>156</v>
      </c>
      <c r="P99" s="64" t="s">
        <v>157</v>
      </c>
      <c r="Q99" s="63">
        <f t="shared" si="2"/>
        <v>0.4</v>
      </c>
      <c r="R99" s="63">
        <f>(E99-(E99*Q99))</f>
        <v>0.36</v>
      </c>
      <c r="S99" s="228">
        <f>IF(R100&gt;1%,R100,R99)</f>
        <v>0.36</v>
      </c>
      <c r="T99" s="203">
        <f>IF(S103&gt;1%,S103,(IF(S101&gt;1%,S101,S99)))</f>
        <v>0.12959999999999999</v>
      </c>
      <c r="U99" s="206" t="str">
        <f>IF(T99&lt;=20%,[1]Criterios!$A$20,IF(T99&lt;=40%,[1]Criterios!$A$21,IF(T99&lt;=60%,[1]Criterios!$A$22,IF(T99&lt;=80,[1]Criterios!$A$23,[1]Criterios!$A$24))))</f>
        <v>Muy baja</v>
      </c>
      <c r="V99" s="122" t="s">
        <v>188</v>
      </c>
      <c r="W99" s="125" t="s">
        <v>191</v>
      </c>
    </row>
    <row r="100" spans="1:23" s="68" customFormat="1" ht="13.8" x14ac:dyDescent="0.25">
      <c r="B100" s="198"/>
      <c r="C100" s="198"/>
      <c r="D100" s="198"/>
      <c r="E100" s="201"/>
      <c r="F100" s="230"/>
      <c r="G100" s="60" t="s">
        <v>158</v>
      </c>
      <c r="H100" s="58" t="s">
        <v>159</v>
      </c>
      <c r="I100" s="59">
        <f>VLOOKUP(H100,[1]Criterios!$B$3:$C$6,2,FALSE)</f>
        <v>0</v>
      </c>
      <c r="J100" s="58" t="s">
        <v>159</v>
      </c>
      <c r="K100" s="59">
        <f>VLOOKUP(J100,[1]Criterios!$B$7:$C$9,2,FALSE)</f>
        <v>0</v>
      </c>
      <c r="L100" s="58"/>
      <c r="M100" s="58"/>
      <c r="N100" s="58"/>
      <c r="O100" s="58"/>
      <c r="P100" s="58"/>
      <c r="Q100" s="57">
        <f t="shared" si="2"/>
        <v>0</v>
      </c>
      <c r="R100" s="57">
        <f>(R99-(R99*Q100))</f>
        <v>0.36</v>
      </c>
      <c r="S100" s="219"/>
      <c r="T100" s="204"/>
      <c r="U100" s="207"/>
      <c r="V100" s="69"/>
      <c r="W100" s="126"/>
    </row>
    <row r="101" spans="1:23" s="68" customFormat="1" ht="184.8" x14ac:dyDescent="0.25">
      <c r="B101" s="198"/>
      <c r="C101" s="198"/>
      <c r="D101" s="198"/>
      <c r="E101" s="201"/>
      <c r="F101" s="230" t="s">
        <v>104</v>
      </c>
      <c r="G101" s="60" t="s">
        <v>168</v>
      </c>
      <c r="H101" s="58" t="s">
        <v>152</v>
      </c>
      <c r="I101" s="59">
        <f>VLOOKUP(H101,[1]Criterios!$B$3:$C$6,2,FALSE)</f>
        <v>0.25</v>
      </c>
      <c r="J101" s="58" t="s">
        <v>62</v>
      </c>
      <c r="K101" s="59">
        <f>VLOOKUP(J101,[1]Criterios!$B$7:$C$9,2,FALSE)</f>
        <v>0.15</v>
      </c>
      <c r="L101" s="58" t="s">
        <v>153</v>
      </c>
      <c r="M101" s="58" t="s">
        <v>154</v>
      </c>
      <c r="N101" s="58" t="s">
        <v>155</v>
      </c>
      <c r="O101" s="58" t="s">
        <v>156</v>
      </c>
      <c r="P101" s="58" t="s">
        <v>157</v>
      </c>
      <c r="Q101" s="57">
        <f t="shared" si="2"/>
        <v>0.4</v>
      </c>
      <c r="R101" s="57">
        <f>IF(Q101&gt;1%,(R100-(R100*Q101)),Q101)</f>
        <v>0.216</v>
      </c>
      <c r="S101" s="219">
        <f>IF(R102&gt;1%,R102,R101)</f>
        <v>0.216</v>
      </c>
      <c r="T101" s="204"/>
      <c r="U101" s="207"/>
      <c r="V101" s="122" t="s">
        <v>188</v>
      </c>
      <c r="W101" s="127" t="s">
        <v>192</v>
      </c>
    </row>
    <row r="102" spans="1:23" s="68" customFormat="1" ht="13.8" x14ac:dyDescent="0.25">
      <c r="B102" s="198"/>
      <c r="C102" s="198"/>
      <c r="D102" s="198"/>
      <c r="E102" s="201"/>
      <c r="F102" s="230"/>
      <c r="G102" s="60" t="s">
        <v>158</v>
      </c>
      <c r="H102" s="58" t="s">
        <v>159</v>
      </c>
      <c r="I102" s="59">
        <f>VLOOKUP(H102,[1]Criterios!$B$3:$C$6,2,FALSE)</f>
        <v>0</v>
      </c>
      <c r="J102" s="58" t="s">
        <v>159</v>
      </c>
      <c r="K102" s="59">
        <f>VLOOKUP(J102,[1]Criterios!$B$7:$C$9,2,FALSE)</f>
        <v>0</v>
      </c>
      <c r="L102" s="58"/>
      <c r="M102" s="58"/>
      <c r="N102" s="58"/>
      <c r="O102" s="58"/>
      <c r="P102" s="58"/>
      <c r="Q102" s="57">
        <f t="shared" si="2"/>
        <v>0</v>
      </c>
      <c r="R102" s="57">
        <f>(R101-(R101*Q102))</f>
        <v>0.216</v>
      </c>
      <c r="S102" s="219"/>
      <c r="T102" s="204"/>
      <c r="U102" s="207"/>
      <c r="V102" s="69"/>
      <c r="W102" s="126"/>
    </row>
    <row r="103" spans="1:23" s="68" customFormat="1" ht="198.6" x14ac:dyDescent="0.25">
      <c r="B103" s="198"/>
      <c r="C103" s="198"/>
      <c r="D103" s="198"/>
      <c r="E103" s="201"/>
      <c r="F103" s="230" t="s">
        <v>169</v>
      </c>
      <c r="G103" s="56" t="s">
        <v>170</v>
      </c>
      <c r="H103" s="54" t="s">
        <v>152</v>
      </c>
      <c r="I103" s="55">
        <f>VLOOKUP(H103,[1]Criterios!$B$3:$C$6,2,FALSE)</f>
        <v>0.25</v>
      </c>
      <c r="J103" s="54" t="s">
        <v>62</v>
      </c>
      <c r="K103" s="55">
        <f>VLOOKUP(J103,[1]Criterios!$B$7:$C$9,2,FALSE)</f>
        <v>0.15</v>
      </c>
      <c r="L103" s="54" t="s">
        <v>153</v>
      </c>
      <c r="M103" s="54" t="s">
        <v>154</v>
      </c>
      <c r="N103" s="54" t="s">
        <v>155</v>
      </c>
      <c r="O103" s="54" t="s">
        <v>156</v>
      </c>
      <c r="P103" s="54" t="s">
        <v>157</v>
      </c>
      <c r="Q103" s="53">
        <f t="shared" si="2"/>
        <v>0.4</v>
      </c>
      <c r="R103" s="53">
        <f>IF(Q103&gt;1%,(R102-(R102*Q103)),Q103)</f>
        <v>0.12959999999999999</v>
      </c>
      <c r="S103" s="212">
        <f>IF(R104&gt;1%,R104,R103)</f>
        <v>0.12959999999999999</v>
      </c>
      <c r="T103" s="204"/>
      <c r="U103" s="207"/>
      <c r="V103" s="122" t="s">
        <v>188</v>
      </c>
      <c r="W103" s="126" t="s">
        <v>297</v>
      </c>
    </row>
    <row r="104" spans="1:23" x14ac:dyDescent="0.25">
      <c r="B104" s="198"/>
      <c r="C104" s="198"/>
      <c r="D104" s="198"/>
      <c r="E104" s="201"/>
      <c r="F104" s="230"/>
      <c r="G104" s="52" t="s">
        <v>158</v>
      </c>
      <c r="H104" s="50" t="s">
        <v>159</v>
      </c>
      <c r="I104" s="51">
        <f>VLOOKUP(H104,[1]Criterios!$B$3:$C$6,2,FALSE)</f>
        <v>0</v>
      </c>
      <c r="J104" s="50" t="s">
        <v>159</v>
      </c>
      <c r="K104" s="51">
        <f>VLOOKUP(J104,[1]Criterios!$B$7:$C$9,2,FALSE)</f>
        <v>0</v>
      </c>
      <c r="L104" s="50"/>
      <c r="M104" s="50"/>
      <c r="N104" s="50"/>
      <c r="O104" s="50"/>
      <c r="P104" s="50"/>
      <c r="Q104" s="49">
        <f t="shared" si="2"/>
        <v>0</v>
      </c>
      <c r="R104" s="49">
        <f>IF(Q104&gt;1%,(R103-(R103*Q104)),Q104)</f>
        <v>0</v>
      </c>
      <c r="S104" s="213"/>
      <c r="T104" s="204"/>
      <c r="U104" s="207"/>
      <c r="V104" s="67"/>
      <c r="W104" s="128"/>
    </row>
    <row r="105" spans="1:23" ht="290.39999999999998" x14ac:dyDescent="0.25">
      <c r="A105" s="61"/>
      <c r="B105" s="198"/>
      <c r="C105" s="198"/>
      <c r="D105" s="198"/>
      <c r="E105" s="201"/>
      <c r="F105" s="210" t="s">
        <v>171</v>
      </c>
      <c r="G105" s="56" t="s">
        <v>172</v>
      </c>
      <c r="H105" s="54" t="s">
        <v>152</v>
      </c>
      <c r="I105" s="55">
        <f>VLOOKUP(H105,[1]Criterios!$B$3:$C$6,2,FALSE)</f>
        <v>0.25</v>
      </c>
      <c r="J105" s="54" t="s">
        <v>62</v>
      </c>
      <c r="K105" s="55">
        <f>VLOOKUP(J105,[1]Criterios!$B$7:$C$9,2,FALSE)</f>
        <v>0.15</v>
      </c>
      <c r="L105" s="58" t="s">
        <v>153</v>
      </c>
      <c r="M105" s="54" t="s">
        <v>154</v>
      </c>
      <c r="N105" s="54" t="s">
        <v>155</v>
      </c>
      <c r="O105" s="54" t="s">
        <v>156</v>
      </c>
      <c r="P105" s="54" t="s">
        <v>157</v>
      </c>
      <c r="Q105" s="53">
        <f t="shared" si="2"/>
        <v>0.4</v>
      </c>
      <c r="R105" s="53">
        <f>IF(Q105&gt;1%,(R104-(R104*Q105)),Q105)</f>
        <v>0</v>
      </c>
      <c r="S105" s="212">
        <f>IF(R106&gt;1%,R106,R105)</f>
        <v>0</v>
      </c>
      <c r="T105" s="204"/>
      <c r="U105" s="207"/>
      <c r="V105" s="122" t="s">
        <v>188</v>
      </c>
      <c r="W105" s="128" t="s">
        <v>193</v>
      </c>
    </row>
    <row r="106" spans="1:23" ht="14.4" x14ac:dyDescent="0.25">
      <c r="A106" s="61"/>
      <c r="B106" s="199"/>
      <c r="C106" s="199"/>
      <c r="D106" s="199"/>
      <c r="E106" s="202"/>
      <c r="F106" s="211"/>
      <c r="G106" s="52" t="s">
        <v>158</v>
      </c>
      <c r="H106" s="50" t="s">
        <v>159</v>
      </c>
      <c r="I106" s="51">
        <f>VLOOKUP(H106,[1]Criterios!$B$3:$C$6,2,FALSE)</f>
        <v>0</v>
      </c>
      <c r="J106" s="50" t="s">
        <v>159</v>
      </c>
      <c r="K106" s="51">
        <f>VLOOKUP(J106,[1]Criterios!$B$7:$C$9,2,FALSE)</f>
        <v>0</v>
      </c>
      <c r="L106" s="54"/>
      <c r="M106" s="50"/>
      <c r="N106" s="50"/>
      <c r="O106" s="50"/>
      <c r="P106" s="50"/>
      <c r="Q106" s="49">
        <f t="shared" si="2"/>
        <v>0</v>
      </c>
      <c r="R106" s="49">
        <f>IF(Q106&gt;1%,(R105-(R105*Q106)),Q106)</f>
        <v>0</v>
      </c>
      <c r="S106" s="213"/>
      <c r="T106" s="205"/>
      <c r="U106" s="208"/>
      <c r="V106" s="67"/>
      <c r="W106" s="67"/>
    </row>
    <row r="107" spans="1:23" x14ac:dyDescent="0.25">
      <c r="B107" s="46"/>
      <c r="C107" s="46"/>
      <c r="D107" s="46"/>
      <c r="E107" s="46"/>
      <c r="F107" s="46"/>
      <c r="G107" s="46"/>
      <c r="J107" s="43"/>
      <c r="K107" s="43"/>
      <c r="L107" s="43"/>
      <c r="M107" s="43"/>
      <c r="N107" s="43"/>
      <c r="O107" s="43"/>
      <c r="P107" s="43"/>
      <c r="Q107" s="43"/>
      <c r="R107" s="43"/>
      <c r="S107" s="43"/>
      <c r="T107" s="45"/>
      <c r="U107" s="43"/>
    </row>
  </sheetData>
  <mergeCells count="205">
    <mergeCell ref="S95:S96"/>
    <mergeCell ref="S93:S94"/>
    <mergeCell ref="T93:T98"/>
    <mergeCell ref="B93:B98"/>
    <mergeCell ref="D93:D98"/>
    <mergeCell ref="E93:E98"/>
    <mergeCell ref="F93:F94"/>
    <mergeCell ref="F95:F96"/>
    <mergeCell ref="D62:D67"/>
    <mergeCell ref="D84:E85"/>
    <mergeCell ref="H84:P84"/>
    <mergeCell ref="Q84:T84"/>
    <mergeCell ref="H85:K85"/>
    <mergeCell ref="L85:P85"/>
    <mergeCell ref="B87:B92"/>
    <mergeCell ref="D87:D92"/>
    <mergeCell ref="E87:E92"/>
    <mergeCell ref="F87:F88"/>
    <mergeCell ref="S87:S88"/>
    <mergeCell ref="T87:T92"/>
    <mergeCell ref="F89:F90"/>
    <mergeCell ref="S89:S90"/>
    <mergeCell ref="Q85:Q86"/>
    <mergeCell ref="R85:R86"/>
    <mergeCell ref="T62:T67"/>
    <mergeCell ref="F64:F65"/>
    <mergeCell ref="T12:T13"/>
    <mergeCell ref="D14:D19"/>
    <mergeCell ref="E14:E19"/>
    <mergeCell ref="F14:F15"/>
    <mergeCell ref="F18:F19"/>
    <mergeCell ref="T34:T39"/>
    <mergeCell ref="S40:S41"/>
    <mergeCell ref="T40:T45"/>
    <mergeCell ref="F53:F55"/>
    <mergeCell ref="G51:H51"/>
    <mergeCell ref="B49:W49"/>
    <mergeCell ref="C53:C55"/>
    <mergeCell ref="V53:V55"/>
    <mergeCell ref="U14:U19"/>
    <mergeCell ref="S14:S15"/>
    <mergeCell ref="S18:S19"/>
    <mergeCell ref="T14:T19"/>
    <mergeCell ref="U40:U45"/>
    <mergeCell ref="S44:S45"/>
    <mergeCell ref="F16:F17"/>
    <mergeCell ref="S16:S17"/>
    <mergeCell ref="F22:F23"/>
    <mergeCell ref="D2:U5"/>
    <mergeCell ref="B7:W7"/>
    <mergeCell ref="D34:D39"/>
    <mergeCell ref="F34:F35"/>
    <mergeCell ref="S34:S35"/>
    <mergeCell ref="L12:P12"/>
    <mergeCell ref="H12:K12"/>
    <mergeCell ref="F26:F27"/>
    <mergeCell ref="S26:S27"/>
    <mergeCell ref="F24:F25"/>
    <mergeCell ref="F28:F29"/>
    <mergeCell ref="S28:S29"/>
    <mergeCell ref="U20:U25"/>
    <mergeCell ref="B2:C5"/>
    <mergeCell ref="C11:C13"/>
    <mergeCell ref="C14:C19"/>
    <mergeCell ref="S22:S23"/>
    <mergeCell ref="U11:U13"/>
    <mergeCell ref="G11:G13"/>
    <mergeCell ref="H11:P11"/>
    <mergeCell ref="Q12:Q13"/>
    <mergeCell ref="R12:R13"/>
    <mergeCell ref="S12:S13"/>
    <mergeCell ref="S24:S25"/>
    <mergeCell ref="C20:C25"/>
    <mergeCell ref="C34:C39"/>
    <mergeCell ref="D9:E9"/>
    <mergeCell ref="D26:D33"/>
    <mergeCell ref="E26:E33"/>
    <mergeCell ref="C40:C45"/>
    <mergeCell ref="B9:C9"/>
    <mergeCell ref="B14:B19"/>
    <mergeCell ref="B11:B13"/>
    <mergeCell ref="B34:B39"/>
    <mergeCell ref="B40:B45"/>
    <mergeCell ref="B20:B25"/>
    <mergeCell ref="B26:B33"/>
    <mergeCell ref="C26:C33"/>
    <mergeCell ref="D40:D45"/>
    <mergeCell ref="E40:E45"/>
    <mergeCell ref="N9:R9"/>
    <mergeCell ref="J9:M9"/>
    <mergeCell ref="D11:E12"/>
    <mergeCell ref="F40:F41"/>
    <mergeCell ref="F44:F45"/>
    <mergeCell ref="Q11:T11"/>
    <mergeCell ref="G9:H9"/>
    <mergeCell ref="S20:S21"/>
    <mergeCell ref="T20:T25"/>
    <mergeCell ref="D20:D25"/>
    <mergeCell ref="E20:E25"/>
    <mergeCell ref="F20:F21"/>
    <mergeCell ref="E34:E39"/>
    <mergeCell ref="F38:F39"/>
    <mergeCell ref="S38:S39"/>
    <mergeCell ref="F30:F31"/>
    <mergeCell ref="S30:S31"/>
    <mergeCell ref="F36:F37"/>
    <mergeCell ref="S36:S37"/>
    <mergeCell ref="F11:F13"/>
    <mergeCell ref="F32:F33"/>
    <mergeCell ref="C56:C61"/>
    <mergeCell ref="C62:C67"/>
    <mergeCell ref="S64:S65"/>
    <mergeCell ref="F70:F71"/>
    <mergeCell ref="S70:S71"/>
    <mergeCell ref="W84:W86"/>
    <mergeCell ref="B84:B86"/>
    <mergeCell ref="N51:R51"/>
    <mergeCell ref="I51:M51"/>
    <mergeCell ref="V84:V86"/>
    <mergeCell ref="F68:F69"/>
    <mergeCell ref="S68:S69"/>
    <mergeCell ref="H83:L83"/>
    <mergeCell ref="F84:F86"/>
    <mergeCell ref="G84:G86"/>
    <mergeCell ref="U84:U86"/>
    <mergeCell ref="T68:T75"/>
    <mergeCell ref="U68:U75"/>
    <mergeCell ref="G82:H82"/>
    <mergeCell ref="B68:B75"/>
    <mergeCell ref="C68:C75"/>
    <mergeCell ref="D68:D75"/>
    <mergeCell ref="E68:E75"/>
    <mergeCell ref="F72:F73"/>
    <mergeCell ref="U62:U67"/>
    <mergeCell ref="L54:P54"/>
    <mergeCell ref="S32:S33"/>
    <mergeCell ref="T26:T33"/>
    <mergeCell ref="S66:S67"/>
    <mergeCell ref="S62:S63"/>
    <mergeCell ref="G53:G55"/>
    <mergeCell ref="H52:L52"/>
    <mergeCell ref="F62:F63"/>
    <mergeCell ref="F60:F61"/>
    <mergeCell ref="F66:F67"/>
    <mergeCell ref="T56:T61"/>
    <mergeCell ref="U56:U61"/>
    <mergeCell ref="S60:S61"/>
    <mergeCell ref="U53:U55"/>
    <mergeCell ref="T54:T55"/>
    <mergeCell ref="F42:F43"/>
    <mergeCell ref="S42:S43"/>
    <mergeCell ref="F58:F59"/>
    <mergeCell ref="Q54:Q55"/>
    <mergeCell ref="F56:F57"/>
    <mergeCell ref="S56:S57"/>
    <mergeCell ref="U34:U39"/>
    <mergeCell ref="U26:U33"/>
    <mergeCell ref="B51:C51"/>
    <mergeCell ref="D51:E51"/>
    <mergeCell ref="C84:C86"/>
    <mergeCell ref="C87:C92"/>
    <mergeCell ref="C93:C98"/>
    <mergeCell ref="U93:U98"/>
    <mergeCell ref="S97:S98"/>
    <mergeCell ref="S99:S100"/>
    <mergeCell ref="S103:S104"/>
    <mergeCell ref="F99:F100"/>
    <mergeCell ref="F103:F104"/>
    <mergeCell ref="F101:F102"/>
    <mergeCell ref="F97:F98"/>
    <mergeCell ref="S101:S102"/>
    <mergeCell ref="T85:T86"/>
    <mergeCell ref="B80:W80"/>
    <mergeCell ref="B82:C82"/>
    <mergeCell ref="D82:E82"/>
    <mergeCell ref="B56:B61"/>
    <mergeCell ref="B62:B67"/>
    <mergeCell ref="U87:U92"/>
    <mergeCell ref="F74:F75"/>
    <mergeCell ref="S74:S75"/>
    <mergeCell ref="D53:E54"/>
    <mergeCell ref="I82:M82"/>
    <mergeCell ref="N82:R82"/>
    <mergeCell ref="B99:B106"/>
    <mergeCell ref="C99:C106"/>
    <mergeCell ref="D99:D106"/>
    <mergeCell ref="E99:E106"/>
    <mergeCell ref="T99:T106"/>
    <mergeCell ref="U99:U106"/>
    <mergeCell ref="B53:B55"/>
    <mergeCell ref="F105:F106"/>
    <mergeCell ref="S105:S106"/>
    <mergeCell ref="H53:P53"/>
    <mergeCell ref="S54:S55"/>
    <mergeCell ref="R54:R55"/>
    <mergeCell ref="D56:D61"/>
    <mergeCell ref="E56:E61"/>
    <mergeCell ref="S58:S59"/>
    <mergeCell ref="Q53:T53"/>
    <mergeCell ref="H54:K54"/>
    <mergeCell ref="S85:S86"/>
    <mergeCell ref="F91:F92"/>
    <mergeCell ref="S91:S92"/>
    <mergeCell ref="E62:E67"/>
    <mergeCell ref="S72:S73"/>
  </mergeCells>
  <dataValidations count="26">
    <dataValidation allowBlank="1" showInputMessage="1" showErrorMessage="1" prompt="Registre nombre completo del gestor del proceso." sqref="N9" xr:uid="{00000000-0002-0000-0000-000013000000}"/>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L54:P54 L12:P12 L85:P85" xr:uid="{00000000-0002-0000-0000-000011000000}"/>
    <dataValidation allowBlank="1" showInputMessage="1" showErrorMessage="1" prompt="Seleccione la respuesta de la lista desplegable." sqref="L55:P55 L13:P13 L86:P86" xr:uid="{00000000-0002-0000-0000-000010000000}"/>
    <dataValidation allowBlank="1" showInputMessage="1" showErrorMessage="1" prompt="Registre el nombre del proceso." sqref="G9:H9 G51:H51 G82:H82" xr:uid="{00000000-0002-0000-0000-00000D000000}"/>
    <dataValidation allowBlank="1" showInputMessage="1" showErrorMessage="1" prompt="En el formato DD/MM/AAAA, registre la fecha de diligenciamiento por parte del gestor del proceso." sqref="D9" xr:uid="{00000000-0002-0000-0000-00000C000000}"/>
    <dataValidation type="list" allowBlank="1" showInputMessage="1" showErrorMessage="1" sqref="H76:T76 H46:S46 H107:T107" xr:uid="{00000000-0002-0000-0000-00000B000000}">
      <formula1>#REF!</formula1>
    </dataValidation>
    <dataValidation allowBlank="1" showInputMessage="1" showErrorMessage="1" prompt="Seleccione la respuesta de la lista desplegable. Si no se requiere el uso de todas las filas, seleccione &quot;No aplica&quot; para aquellas que se encuentren vacias." sqref="H13 J13 H55 J55 H86 J86" xr:uid="{00000000-0002-0000-0000-000009000000}"/>
    <dataValidation allowBlank="1" showInputMessage="1" showErrorMessage="1" prompt="Registre las conclusiones u observaciones respecto al diseño de la actividad de control de acuerdo con cada uno de los atributos evaluados, cuando aplique." sqref="V53:V55 V84:V86" xr:uid="{00000000-0002-0000-0000-000008000000}"/>
    <dataValidation allowBlank="1" showInputMessage="1" showErrorMessage="1" prompt="Respuesta automática. No diligenciar." sqref="K13 K55 I13 K86 I55 I86" xr:uid="{00000000-0002-0000-0000-000006000000}"/>
    <dataValidation allowBlank="1" showInputMessage="1" showErrorMessage="1" prompt="Permiten dar un peso a la eficiencia del control y de esta manera dar movimiento en la matriz de calor, a partir de los cambios en la probabilidad y el impacto." sqref="H12 H54 H85" xr:uid="{00000000-0002-0000-0000-000005000000}"/>
    <dataValidation allowBlank="1" showInputMessage="1" showErrorMessage="1" prompt="Registre las conclusiones u observaciones respecto a la evaluación de la ejecución de la actividad de control, a partir de los resultados reportados por el proceso en la hoja 1. Mapa y plan de tratamiento, sección C." sqref="W84:W86" xr:uid="{00000000-0002-0000-0000-000001000000}"/>
    <dataValidation allowBlank="1" showInputMessage="1" showErrorMessage="1" prompt="Son las variables asignadas para evaluar el diseño del control del riesgo." sqref="H53 H11 H84" xr:uid="{00000000-0002-0000-0000-000000000000}"/>
    <dataValidation allowBlank="1" showInputMessage="1" showErrorMessage="1" promptTitle="Respuesta automática." prompt="El resultado que se genera, corresponde a la probabilidad residual que se debe registrar en la columna &quot;P&quot; de la hoja 1. Mapa y plan de tratamiento." sqref="U11:U13" xr:uid="{06CF7FAD-F56A-479C-9F44-1DC023129228}"/>
    <dataValidation allowBlank="1" showInputMessage="1" showErrorMessage="1" promptTitle="Respuesta automática." prompt="No diligenciar. RECUERDE que para las filas vacias en las columnas &quot;H&quot; y &quot;J&quot; se debe seleccionar &quot;No aplica&quot;." sqref="T12:T13 T54:T55 T85:T86" xr:uid="{24A520B4-D254-4CF9-B0BF-BFE5D7135469}"/>
    <dataValidation allowBlank="1" showInputMessage="1" showErrorMessage="1" promptTitle="Respuesta automática." prompt="No diligenciar." sqref="Q12:S13 Q54:S55 Q85:S86 E13 E55 E86" xr:uid="{7D82A19B-C42C-42B2-9F83-32DB7B40AE91}"/>
    <dataValidation allowBlank="1" showInputMessage="1" showErrorMessage="1" promptTitle="Respuesta automática." prompt="El resultado que se genera, corresponde a la probabilidad residual en la evaluación de la segunda línea." sqref="U53:U55" xr:uid="{DC443A39-B9E4-4982-87B9-E83D6843F40B}"/>
    <dataValidation allowBlank="1" showInputMessage="1" showErrorMessage="1" promptTitle="Respuesta automática." prompt="El resultado que se genera, corresponde a la probabilidad residual en la evaluación de la tercera línea." sqref="U84:U86" xr:uid="{02881AFC-87CC-4242-AB29-B3334222F335}"/>
    <dataValidation allowBlank="1" showInputMessage="1" showErrorMessage="1" prompt="Relacione el código del riesgo." sqref="B11:B13 B53:B55 B84:B86" xr:uid="{863BEE09-C628-48AB-A64A-76CCC1A51D86}"/>
    <dataValidation allowBlank="1" showInputMessage="1" showErrorMessage="1" prompt="Relacione el riesgo identificado y registrado en la hoja &quot;1. Mapa y plan de tratamiento&quot;." sqref="C11:C13 C53:C55 C84:C86" xr:uid="{E220285D-47CD-4DA8-BBBE-07F4442E34F4}"/>
    <dataValidation allowBlank="1" showInputMessage="1" showErrorMessage="1" prompt="Seleccione de la lista desplegable, la probabilidad inherente registrada en la hoja &quot;1. Mapa y plan de tratamiento&quot;, columna J." sqref="D13 D55 D86" xr:uid="{19446438-0DB0-4E19-94FB-1304CC383DCE}"/>
    <dataValidation allowBlank="1" showInputMessage="1" showErrorMessage="1" prompt="Relacione la causa del riesgo identificado en la hoja &quot;1. Mapa y plan de tratamiento&quot;. Si cuenta con mas de tres causas, copie e inserte cuantas filas adicionales requiera." sqref="F11:F13 F53:F55 F84:F86" xr:uid="{E85859AF-A633-4856-88E1-026C72517615}"/>
    <dataValidation allowBlank="1" showInputMessage="1" showErrorMessage="1" prompt="Relacione la actividad de control registrada en la hoja &quot;1. Mapa y plan de tratamiento&quot;. Si cuenta con mas de dos controles por causa, copie e inserte cuantas filas adicionales requiera." sqref="G11:G13 G53:G55 G84:G86" xr:uid="{BE5D3811-DE28-4E52-BC67-E1DF28D6B182}"/>
    <dataValidation allowBlank="1" showInputMessage="1" showErrorMessage="1" prompt="En el formato DD/MM/AAAA, registre la fecha de diligenciamiento por parte del responsable de la evaluación en calidad de tercera línea." sqref="D82:E82" xr:uid="{83BF16B6-5BC8-4114-AD23-FA57BC34F119}"/>
    <dataValidation allowBlank="1" showInputMessage="1" showErrorMessage="1" prompt="En el formato DD/MM/AAAA, registre la fecha de diligenciamiento por parte del responsable de la revisión en calidad de segunda línea." sqref="D51:E51" xr:uid="{8576954C-7518-4F27-BCB1-9E99784C7CF2}"/>
    <dataValidation allowBlank="1" showInputMessage="1" showErrorMessage="1" prompt="Registre nombre completo de la persona que realiza la evaluación en calidad de segunda línea (Subdirección de Diseño, Evaluación y Sistematización)." sqref="N51:R51" xr:uid="{DBBD63EB-2A0E-4DC8-B356-3FA3D8CFC4E9}"/>
    <dataValidation allowBlank="1" showInputMessage="1" showErrorMessage="1" prompt="Registre nombre completo de la persona que realiza la evaluación en calidad de tercera línea (Oficina de Control Interno)." sqref="N82:R82" xr:uid="{77380734-7210-4138-9497-149F91250DD8}"/>
  </dataValidations>
  <pageMargins left="0.15748031496062992" right="0.19685039370078741" top="0.39370078740157483" bottom="0.31496062992125984" header="0.31496062992125984" footer="0.23622047244094491"/>
  <pageSetup scale="33" orientation="landscape" horizontalDpi="4294967294" verticalDpi="300" r:id="rId1"/>
  <rowBreaks count="1" manualBreakCount="1">
    <brk id="46" max="16383" man="1"/>
  </rowBreaks>
  <colBreaks count="1" manualBreakCount="1">
    <brk id="22" max="1048575" man="1"/>
  </col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1D000000}">
          <x14:formula1>
            <xm:f>Criterios!$E$14:$E$15</xm:f>
          </x14:formula1>
          <xm:sqref>N56:N75 N14:N45</xm:sqref>
        </x14:dataValidation>
        <x14:dataValidation type="list" allowBlank="1" showInputMessage="1" showErrorMessage="1" xr:uid="{00000000-0002-0000-0000-00001C000000}">
          <x14:formula1>
            <xm:f>Criterios!$B$14:$B$15</xm:f>
          </x14:formula1>
          <xm:sqref>O14:O45 O56:O75</xm:sqref>
        </x14:dataValidation>
        <x14:dataValidation type="list" allowBlank="1" showInputMessage="1" showErrorMessage="1" xr:uid="{00000000-0002-0000-0000-00001B000000}">
          <x14:formula1>
            <xm:f>Criterios!$E$12:$E$13</xm:f>
          </x14:formula1>
          <xm:sqref>M56:M75 M14:M45</xm:sqref>
        </x14:dataValidation>
        <x14:dataValidation type="list" allowBlank="1" showInputMessage="1" showErrorMessage="1" xr:uid="{00000000-0002-0000-0000-00001A000000}">
          <x14:formula1>
            <xm:f>Criterios!$B$7:$B$9</xm:f>
          </x14:formula1>
          <xm:sqref>J56:J75 J14:J45</xm:sqref>
        </x14:dataValidation>
        <x14:dataValidation type="list" allowBlank="1" showInputMessage="1" showErrorMessage="1" xr:uid="{00000000-0002-0000-0000-000019000000}">
          <x14:formula1>
            <xm:f>Criterios!$B$3:$B$6</xm:f>
          </x14:formula1>
          <xm:sqref>H56:H75 H14:H45</xm:sqref>
        </x14:dataValidation>
        <x14:dataValidation type="list" allowBlank="1" showInputMessage="1" showErrorMessage="1" xr:uid="{00000000-0002-0000-0000-000018000000}">
          <x14:formula1>
            <xm:f>Criterios!$A$20:$A$24</xm:f>
          </x14:formula1>
          <xm:sqref>D56:D68 D34:D45 D14:D26</xm:sqref>
        </x14:dataValidation>
        <x14:dataValidation type="list" allowBlank="1" showInputMessage="1" showErrorMessage="1" xr:uid="{00000000-0002-0000-0000-000017000000}">
          <x14:formula1>
            <xm:f>Criterios!$B$16:$B$17</xm:f>
          </x14:formula1>
          <xm:sqref>P56:P75 P14:P45</xm:sqref>
        </x14:dataValidation>
        <x14:dataValidation type="list" allowBlank="1" showInputMessage="1" showErrorMessage="1" xr:uid="{00000000-0002-0000-0000-000016000000}">
          <x14:formula1>
            <xm:f>Criterios!$B$12:$B$13</xm:f>
          </x14:formula1>
          <xm:sqref>L56:L75 L14:L45</xm:sqref>
        </x14:dataValidation>
        <x14:dataValidation type="list" allowBlank="1" showInputMessage="1" showErrorMessage="1" xr:uid="{45EA42A3-22C4-44B8-A6AD-6E9542CFFBF6}">
          <x14:formula1>
            <xm:f>'C:\Users\DAVID MOCAYO\AppData\Local\Temp\Rar$DIa9628.3497.rartemp\[20250331_riesgos_gestion_gec_1monitoreo.xlsx]Criterios'!#REF!</xm:f>
          </x14:formula1>
          <xm:sqref>J87:J106 H87:H106 D87:D99 L87:P106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4"/>
  <sheetViews>
    <sheetView view="pageBreakPreview" zoomScaleNormal="100" zoomScaleSheetLayoutView="100" workbookViewId="0">
      <selection sqref="A1:B4"/>
    </sheetView>
  </sheetViews>
  <sheetFormatPr baseColWidth="10" defaultColWidth="11.44140625" defaultRowHeight="13.2" x14ac:dyDescent="0.25"/>
  <cols>
    <col min="1" max="1" width="0.6640625" style="28" customWidth="1"/>
    <col min="2" max="2" width="21.44140625" customWidth="1"/>
    <col min="3" max="7" width="20.5546875" customWidth="1"/>
    <col min="8" max="8" width="2.44140625" customWidth="1"/>
    <col min="9" max="11" width="11.44140625" hidden="1" customWidth="1"/>
  </cols>
  <sheetData>
    <row r="1" spans="1:10" ht="17.25" customHeight="1" x14ac:dyDescent="0.25">
      <c r="A1" s="256"/>
      <c r="B1" s="256"/>
      <c r="C1" s="258" t="s">
        <v>0</v>
      </c>
      <c r="D1" s="259"/>
      <c r="E1" s="260"/>
      <c r="F1" s="36" t="s">
        <v>1</v>
      </c>
      <c r="G1" s="37" t="s">
        <v>2</v>
      </c>
      <c r="I1" s="4"/>
      <c r="J1" s="4"/>
    </row>
    <row r="2" spans="1:10" ht="17.25" customHeight="1" x14ac:dyDescent="0.25">
      <c r="A2" s="256"/>
      <c r="B2" s="256"/>
      <c r="C2" s="261"/>
      <c r="D2" s="262"/>
      <c r="E2" s="263"/>
      <c r="F2" s="36" t="s">
        <v>3</v>
      </c>
      <c r="G2" s="37">
        <v>4</v>
      </c>
      <c r="I2" s="4"/>
      <c r="J2" s="4"/>
    </row>
    <row r="3" spans="1:10" ht="24.75" customHeight="1" x14ac:dyDescent="0.25">
      <c r="A3" s="256"/>
      <c r="B3" s="256"/>
      <c r="C3" s="261"/>
      <c r="D3" s="262"/>
      <c r="E3" s="263"/>
      <c r="F3" s="36" t="s">
        <v>4</v>
      </c>
      <c r="G3" s="38" t="s">
        <v>5</v>
      </c>
      <c r="I3" s="4"/>
      <c r="J3" s="4"/>
    </row>
    <row r="4" spans="1:10" ht="17.25" customHeight="1" x14ac:dyDescent="0.25">
      <c r="A4" s="256"/>
      <c r="B4" s="256"/>
      <c r="C4" s="264"/>
      <c r="D4" s="265"/>
      <c r="E4" s="266"/>
      <c r="F4" s="36" t="s">
        <v>6</v>
      </c>
      <c r="G4" s="37" t="s">
        <v>194</v>
      </c>
      <c r="I4" s="4"/>
      <c r="J4" s="4"/>
    </row>
    <row r="5" spans="1:10" x14ac:dyDescent="0.25">
      <c r="B5" s="17"/>
      <c r="C5" s="17"/>
      <c r="D5" s="17"/>
      <c r="E5" s="17"/>
      <c r="F5" s="17"/>
      <c r="G5" s="89" t="s">
        <v>8</v>
      </c>
      <c r="I5" s="4"/>
      <c r="J5" s="4"/>
    </row>
    <row r="6" spans="1:10" x14ac:dyDescent="0.25">
      <c r="B6" s="32" t="s">
        <v>195</v>
      </c>
      <c r="C6" s="17"/>
      <c r="D6" s="17"/>
      <c r="E6" s="17"/>
      <c r="F6" s="17"/>
      <c r="G6" s="17"/>
      <c r="I6" s="2" t="s">
        <v>196</v>
      </c>
    </row>
    <row r="7" spans="1:10" ht="41.25" customHeight="1" x14ac:dyDescent="0.25">
      <c r="B7" s="20" t="s">
        <v>57</v>
      </c>
      <c r="C7" s="257" t="s">
        <v>197</v>
      </c>
      <c r="D7" s="257"/>
      <c r="E7" s="257"/>
      <c r="F7" s="257"/>
      <c r="G7" s="257"/>
      <c r="I7" s="15" t="s">
        <v>10</v>
      </c>
    </row>
    <row r="8" spans="1:10" ht="21" customHeight="1" x14ac:dyDescent="0.25">
      <c r="B8" s="20" t="s">
        <v>198</v>
      </c>
      <c r="C8" s="257" t="s">
        <v>199</v>
      </c>
      <c r="D8" s="257"/>
      <c r="E8" s="257"/>
      <c r="F8" s="257"/>
      <c r="G8" s="257"/>
      <c r="I8" s="15" t="s">
        <v>200</v>
      </c>
    </row>
    <row r="9" spans="1:10" ht="51.75" customHeight="1" x14ac:dyDescent="0.25">
      <c r="B9" s="20" t="s">
        <v>201</v>
      </c>
      <c r="C9" s="257" t="s">
        <v>202</v>
      </c>
      <c r="D9" s="257"/>
      <c r="E9" s="257"/>
      <c r="F9" s="257"/>
      <c r="G9" s="257"/>
      <c r="I9" s="15" t="s">
        <v>203</v>
      </c>
    </row>
    <row r="10" spans="1:10" ht="25.5" customHeight="1" x14ac:dyDescent="0.25">
      <c r="B10" s="23" t="s">
        <v>204</v>
      </c>
      <c r="C10" s="257" t="s">
        <v>205</v>
      </c>
      <c r="D10" s="257"/>
      <c r="E10" s="257"/>
      <c r="F10" s="257"/>
      <c r="G10" s="257"/>
      <c r="I10" s="2" t="s">
        <v>21</v>
      </c>
    </row>
    <row r="11" spans="1:10" ht="25.5" customHeight="1" x14ac:dyDescent="0.25">
      <c r="B11" s="20" t="s">
        <v>206</v>
      </c>
      <c r="C11" s="257" t="s">
        <v>207</v>
      </c>
      <c r="D11" s="257"/>
      <c r="E11" s="257"/>
      <c r="F11" s="257"/>
      <c r="G11" s="257"/>
      <c r="I11" t="s">
        <v>56</v>
      </c>
    </row>
    <row r="12" spans="1:10" ht="29.25" customHeight="1" x14ac:dyDescent="0.25">
      <c r="B12" s="20" t="s">
        <v>208</v>
      </c>
      <c r="C12" s="257" t="s">
        <v>209</v>
      </c>
      <c r="D12" s="257"/>
      <c r="E12" s="257"/>
      <c r="F12" s="257"/>
      <c r="G12" s="257"/>
      <c r="I12" t="s">
        <v>210</v>
      </c>
    </row>
    <row r="13" spans="1:10" ht="30" customHeight="1" x14ac:dyDescent="0.25">
      <c r="B13" s="20" t="s">
        <v>211</v>
      </c>
      <c r="C13" s="257" t="s">
        <v>212</v>
      </c>
      <c r="D13" s="257"/>
      <c r="E13" s="257"/>
      <c r="F13" s="257"/>
      <c r="G13" s="257"/>
      <c r="I13" t="s">
        <v>81</v>
      </c>
    </row>
    <row r="14" spans="1:10" ht="39.75" customHeight="1" x14ac:dyDescent="0.25">
      <c r="B14" s="20" t="s">
        <v>97</v>
      </c>
      <c r="C14" s="257" t="s">
        <v>213</v>
      </c>
      <c r="D14" s="257"/>
      <c r="E14" s="257"/>
      <c r="F14" s="257"/>
      <c r="G14" s="257"/>
    </row>
    <row r="15" spans="1:10" ht="31.5" customHeight="1" x14ac:dyDescent="0.25">
      <c r="B15" s="23" t="s">
        <v>214</v>
      </c>
      <c r="C15" s="257" t="s">
        <v>215</v>
      </c>
      <c r="D15" s="257"/>
      <c r="E15" s="257"/>
      <c r="F15" s="257"/>
      <c r="G15" s="257"/>
    </row>
    <row r="16" spans="1:10" x14ac:dyDescent="0.25">
      <c r="B16" s="23" t="s">
        <v>216</v>
      </c>
      <c r="C16" s="257" t="s">
        <v>217</v>
      </c>
      <c r="D16" s="257"/>
      <c r="E16" s="257"/>
      <c r="F16" s="257"/>
      <c r="G16" s="257"/>
    </row>
    <row r="17" spans="2:7" ht="28.5" customHeight="1" x14ac:dyDescent="0.25">
      <c r="B17" s="23" t="s">
        <v>218</v>
      </c>
      <c r="C17" s="257" t="s">
        <v>219</v>
      </c>
      <c r="D17" s="257"/>
      <c r="E17" s="257"/>
      <c r="F17" s="257"/>
      <c r="G17" s="257"/>
    </row>
    <row r="18" spans="2:7" ht="30" customHeight="1" x14ac:dyDescent="0.25">
      <c r="B18" s="23" t="s">
        <v>220</v>
      </c>
      <c r="C18" s="257" t="s">
        <v>221</v>
      </c>
      <c r="D18" s="257"/>
      <c r="E18" s="257"/>
      <c r="F18" s="257"/>
      <c r="G18" s="257"/>
    </row>
    <row r="20" spans="2:7" x14ac:dyDescent="0.25">
      <c r="B20" s="3" t="s">
        <v>222</v>
      </c>
    </row>
    <row r="21" spans="2:7" ht="29.25" customHeight="1" x14ac:dyDescent="0.25">
      <c r="B21" s="87" t="s">
        <v>223</v>
      </c>
      <c r="C21" s="6" t="s">
        <v>224</v>
      </c>
      <c r="D21" s="269" t="s">
        <v>225</v>
      </c>
      <c r="E21" s="270"/>
      <c r="F21" s="267" t="s">
        <v>226</v>
      </c>
      <c r="G21" s="268"/>
    </row>
    <row r="22" spans="2:7" ht="39.75" customHeight="1" x14ac:dyDescent="0.25">
      <c r="B22" s="103">
        <v>0.2</v>
      </c>
      <c r="C22" s="7" t="s">
        <v>163</v>
      </c>
      <c r="D22" s="255" t="s">
        <v>227</v>
      </c>
      <c r="E22" s="255"/>
      <c r="F22" s="255" t="s">
        <v>228</v>
      </c>
      <c r="G22" s="255"/>
    </row>
    <row r="23" spans="2:7" ht="39.75" customHeight="1" x14ac:dyDescent="0.25">
      <c r="B23" s="103">
        <v>0.4</v>
      </c>
      <c r="C23" s="7" t="s">
        <v>151</v>
      </c>
      <c r="D23" s="255" t="s">
        <v>229</v>
      </c>
      <c r="E23" s="255"/>
      <c r="F23" s="255" t="s">
        <v>230</v>
      </c>
      <c r="G23" s="255"/>
    </row>
    <row r="24" spans="2:7" ht="39.75" customHeight="1" x14ac:dyDescent="0.25">
      <c r="B24" s="103">
        <v>0.6</v>
      </c>
      <c r="C24" s="25" t="s">
        <v>166</v>
      </c>
      <c r="D24" s="255" t="s">
        <v>231</v>
      </c>
      <c r="E24" s="255"/>
      <c r="F24" s="255" t="s">
        <v>232</v>
      </c>
      <c r="G24" s="255"/>
    </row>
    <row r="25" spans="2:7" ht="39.75" customHeight="1" x14ac:dyDescent="0.25">
      <c r="B25" s="103">
        <v>0.8</v>
      </c>
      <c r="C25" s="7" t="s">
        <v>233</v>
      </c>
      <c r="D25" s="255" t="s">
        <v>234</v>
      </c>
      <c r="E25" s="255"/>
      <c r="F25" s="255" t="s">
        <v>235</v>
      </c>
      <c r="G25" s="255"/>
    </row>
    <row r="26" spans="2:7" ht="39.75" customHeight="1" x14ac:dyDescent="0.25">
      <c r="B26" s="103">
        <v>1</v>
      </c>
      <c r="C26" s="7" t="s">
        <v>236</v>
      </c>
      <c r="D26" s="255" t="s">
        <v>237</v>
      </c>
      <c r="E26" s="255"/>
      <c r="F26" s="255" t="s">
        <v>238</v>
      </c>
      <c r="G26" s="255"/>
    </row>
    <row r="28" spans="2:7" x14ac:dyDescent="0.25">
      <c r="B28" s="3" t="s">
        <v>239</v>
      </c>
    </row>
    <row r="29" spans="2:7" x14ac:dyDescent="0.25">
      <c r="B29" s="6" t="s">
        <v>223</v>
      </c>
      <c r="C29" s="6" t="s">
        <v>224</v>
      </c>
      <c r="D29" s="267" t="s">
        <v>240</v>
      </c>
      <c r="E29" s="268"/>
      <c r="F29" s="272" t="s">
        <v>241</v>
      </c>
      <c r="G29" s="273"/>
    </row>
    <row r="30" spans="2:7" ht="35.25" customHeight="1" x14ac:dyDescent="0.25">
      <c r="B30" s="24">
        <v>0.2</v>
      </c>
      <c r="C30" s="25" t="s">
        <v>242</v>
      </c>
      <c r="D30" s="274" t="s">
        <v>243</v>
      </c>
      <c r="E30" s="274"/>
      <c r="F30" s="271" t="s">
        <v>244</v>
      </c>
      <c r="G30" s="271"/>
    </row>
    <row r="31" spans="2:7" ht="51.75" customHeight="1" x14ac:dyDescent="0.25">
      <c r="B31" s="24">
        <v>0.4</v>
      </c>
      <c r="C31" s="7" t="s">
        <v>245</v>
      </c>
      <c r="D31" s="274" t="s">
        <v>246</v>
      </c>
      <c r="E31" s="274"/>
      <c r="F31" s="271" t="s">
        <v>247</v>
      </c>
      <c r="G31" s="271"/>
    </row>
    <row r="32" spans="2:7" ht="40.5" customHeight="1" x14ac:dyDescent="0.25">
      <c r="B32" s="24">
        <v>0.6</v>
      </c>
      <c r="C32" s="25" t="s">
        <v>248</v>
      </c>
      <c r="D32" s="274" t="s">
        <v>249</v>
      </c>
      <c r="E32" s="274"/>
      <c r="F32" s="271" t="s">
        <v>250</v>
      </c>
      <c r="G32" s="271"/>
    </row>
    <row r="33" spans="1:11" ht="40.5" customHeight="1" x14ac:dyDescent="0.25">
      <c r="B33" s="24">
        <v>0.8</v>
      </c>
      <c r="C33" s="7" t="s">
        <v>251</v>
      </c>
      <c r="D33" s="274" t="s">
        <v>252</v>
      </c>
      <c r="E33" s="274"/>
      <c r="F33" s="271" t="s">
        <v>253</v>
      </c>
      <c r="G33" s="271"/>
    </row>
    <row r="34" spans="1:11" ht="40.5" customHeight="1" x14ac:dyDescent="0.25">
      <c r="B34" s="24">
        <v>1</v>
      </c>
      <c r="C34" s="7" t="s">
        <v>254</v>
      </c>
      <c r="D34" s="274" t="s">
        <v>255</v>
      </c>
      <c r="E34" s="274"/>
      <c r="F34" s="271" t="s">
        <v>256</v>
      </c>
      <c r="G34" s="271"/>
    </row>
    <row r="36" spans="1:11" x14ac:dyDescent="0.25">
      <c r="B36" s="3" t="s">
        <v>257</v>
      </c>
    </row>
    <row r="37" spans="1:11" s="31" customFormat="1" ht="12" hidden="1" customHeight="1" x14ac:dyDescent="0.25">
      <c r="A37" s="28"/>
      <c r="B37" s="33" t="s">
        <v>258</v>
      </c>
      <c r="C37" s="34" t="s">
        <v>259</v>
      </c>
      <c r="D37" s="35" t="s">
        <v>260</v>
      </c>
      <c r="E37" s="35" t="s">
        <v>59</v>
      </c>
      <c r="F37" s="34" t="s">
        <v>82</v>
      </c>
      <c r="G37" s="35" t="s">
        <v>261</v>
      </c>
    </row>
    <row r="38" spans="1:11" s="31" customFormat="1" ht="12" hidden="1" customHeight="1" x14ac:dyDescent="0.25">
      <c r="A38" s="28"/>
      <c r="B38" s="29">
        <v>1</v>
      </c>
      <c r="C38" s="30">
        <v>2</v>
      </c>
      <c r="D38" s="30">
        <v>3</v>
      </c>
      <c r="E38" s="30">
        <v>4</v>
      </c>
      <c r="F38" s="30">
        <v>5</v>
      </c>
      <c r="G38" s="30">
        <v>6</v>
      </c>
    </row>
    <row r="39" spans="1:11" ht="24.75" customHeight="1" x14ac:dyDescent="0.25">
      <c r="A39" s="28">
        <v>1</v>
      </c>
      <c r="B39" s="23" t="s">
        <v>262</v>
      </c>
      <c r="C39" s="104" t="s">
        <v>263</v>
      </c>
      <c r="D39" s="104" t="s">
        <v>263</v>
      </c>
      <c r="E39" s="104" t="s">
        <v>263</v>
      </c>
      <c r="F39" s="104" t="s">
        <v>263</v>
      </c>
      <c r="G39" s="105" t="s">
        <v>264</v>
      </c>
      <c r="I39" s="15" t="s">
        <v>63</v>
      </c>
      <c r="J39" s="15" t="s">
        <v>259</v>
      </c>
    </row>
    <row r="40" spans="1:11" ht="24.75" customHeight="1" x14ac:dyDescent="0.25">
      <c r="A40" s="28">
        <v>2</v>
      </c>
      <c r="B40" s="23" t="s">
        <v>265</v>
      </c>
      <c r="C40" s="106" t="s">
        <v>248</v>
      </c>
      <c r="D40" s="106" t="s">
        <v>248</v>
      </c>
      <c r="E40" s="104" t="s">
        <v>263</v>
      </c>
      <c r="F40" s="104" t="s">
        <v>263</v>
      </c>
      <c r="G40" s="105" t="s">
        <v>264</v>
      </c>
      <c r="I40" s="15" t="s">
        <v>58</v>
      </c>
      <c r="J40" s="15" t="s">
        <v>260</v>
      </c>
    </row>
    <row r="41" spans="1:11" ht="24.75" customHeight="1" x14ac:dyDescent="0.25">
      <c r="A41" s="28">
        <v>3</v>
      </c>
      <c r="B41" s="23" t="s">
        <v>98</v>
      </c>
      <c r="C41" s="106" t="s">
        <v>248</v>
      </c>
      <c r="D41" s="106" t="s">
        <v>248</v>
      </c>
      <c r="E41" s="106" t="s">
        <v>248</v>
      </c>
      <c r="F41" s="104" t="s">
        <v>263</v>
      </c>
      <c r="G41" s="105" t="s">
        <v>264</v>
      </c>
      <c r="I41" s="15" t="s">
        <v>98</v>
      </c>
      <c r="J41" s="15" t="s">
        <v>59</v>
      </c>
    </row>
    <row r="42" spans="1:11" ht="24.75" customHeight="1" x14ac:dyDescent="0.25">
      <c r="A42" s="28">
        <v>4</v>
      </c>
      <c r="B42" s="23" t="s">
        <v>58</v>
      </c>
      <c r="C42" s="26" t="s">
        <v>266</v>
      </c>
      <c r="D42" s="106" t="s">
        <v>248</v>
      </c>
      <c r="E42" s="106" t="s">
        <v>248</v>
      </c>
      <c r="F42" s="104" t="s">
        <v>263</v>
      </c>
      <c r="G42" s="105" t="s">
        <v>264</v>
      </c>
      <c r="I42" s="15" t="s">
        <v>265</v>
      </c>
      <c r="J42" s="15" t="s">
        <v>82</v>
      </c>
    </row>
    <row r="43" spans="1:11" ht="24.75" customHeight="1" x14ac:dyDescent="0.25">
      <c r="A43" s="28">
        <v>5</v>
      </c>
      <c r="B43" s="23" t="s">
        <v>63</v>
      </c>
      <c r="C43" s="26" t="s">
        <v>266</v>
      </c>
      <c r="D43" s="26" t="s">
        <v>266</v>
      </c>
      <c r="E43" s="106" t="s">
        <v>248</v>
      </c>
      <c r="F43" s="104" t="s">
        <v>263</v>
      </c>
      <c r="G43" s="105" t="s">
        <v>264</v>
      </c>
      <c r="I43" s="15" t="s">
        <v>262</v>
      </c>
      <c r="J43" s="15" t="s">
        <v>261</v>
      </c>
    </row>
    <row r="44" spans="1:11" ht="26.4" x14ac:dyDescent="0.25">
      <c r="B44" s="5" t="s">
        <v>267</v>
      </c>
      <c r="C44" s="27" t="s">
        <v>259</v>
      </c>
      <c r="D44" s="23" t="s">
        <v>260</v>
      </c>
      <c r="E44" s="23" t="s">
        <v>59</v>
      </c>
      <c r="F44" s="27" t="s">
        <v>82</v>
      </c>
      <c r="G44" s="23" t="s">
        <v>261</v>
      </c>
    </row>
    <row r="47" spans="1:11" ht="39.6" x14ac:dyDescent="0.25">
      <c r="I47" s="16" t="s">
        <v>25</v>
      </c>
      <c r="J47" s="16" t="s">
        <v>268</v>
      </c>
      <c r="K47" s="16" t="s">
        <v>269</v>
      </c>
    </row>
    <row r="48" spans="1:11" x14ac:dyDescent="0.25">
      <c r="I48" s="15" t="s">
        <v>61</v>
      </c>
      <c r="J48" s="15" t="s">
        <v>270</v>
      </c>
      <c r="K48" t="s">
        <v>62</v>
      </c>
    </row>
    <row r="49" spans="9:11" x14ac:dyDescent="0.25">
      <c r="I49" s="15" t="s">
        <v>271</v>
      </c>
      <c r="J49" s="15" t="s">
        <v>69</v>
      </c>
      <c r="K49" s="15" t="s">
        <v>272</v>
      </c>
    </row>
    <row r="51" spans="9:11" x14ac:dyDescent="0.25">
      <c r="I51" s="2" t="s">
        <v>273</v>
      </c>
      <c r="J51" s="2" t="s">
        <v>274</v>
      </c>
    </row>
    <row r="52" spans="9:11" x14ac:dyDescent="0.25">
      <c r="I52" t="s">
        <v>270</v>
      </c>
      <c r="J52" t="s">
        <v>275</v>
      </c>
    </row>
    <row r="53" spans="9:11" x14ac:dyDescent="0.25">
      <c r="I53" t="s">
        <v>69</v>
      </c>
      <c r="J53" t="s">
        <v>64</v>
      </c>
    </row>
    <row r="54" spans="9:11" x14ac:dyDescent="0.25">
      <c r="J54" t="s">
        <v>276</v>
      </c>
    </row>
  </sheetData>
  <mergeCells count="38">
    <mergeCell ref="F33:G33"/>
    <mergeCell ref="F34:G34"/>
    <mergeCell ref="D29:E29"/>
    <mergeCell ref="F29:G29"/>
    <mergeCell ref="F30:G30"/>
    <mergeCell ref="D30:E30"/>
    <mergeCell ref="D32:E32"/>
    <mergeCell ref="D33:E33"/>
    <mergeCell ref="D34:E34"/>
    <mergeCell ref="F32:G32"/>
    <mergeCell ref="F31:G31"/>
    <mergeCell ref="D31:E31"/>
    <mergeCell ref="C13:G13"/>
    <mergeCell ref="C14:G14"/>
    <mergeCell ref="C15:G15"/>
    <mergeCell ref="D22:E22"/>
    <mergeCell ref="D23:E23"/>
    <mergeCell ref="D25:E25"/>
    <mergeCell ref="D21:E21"/>
    <mergeCell ref="F24:G24"/>
    <mergeCell ref="F25:G25"/>
    <mergeCell ref="F23:G23"/>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NOT(ISERROR(SEARCH("extremo",E40)))</formula>
    </cfRule>
  </conditionalFormatting>
  <dataValidations count="1">
    <dataValidation type="list" allowBlank="1" showInputMessage="1" showErrorMessage="1" sqref="F44 C37 C44 F37" xr:uid="{D5715EC5-683B-46EC-B3F3-8613A7B216C9}">
      <formula1>$J$39:$J$43</formula1>
    </dataValidation>
  </dataValidations>
  <pageMargins left="0.7" right="0.7" top="0.75" bottom="0.75" header="0.3" footer="0.3"/>
  <pageSetup scale="87" orientation="landscape" horizontalDpi="4294967294" verticalDpi="4294967294" r:id="rId1"/>
  <rowBreaks count="1" manualBreakCount="1">
    <brk id="22"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67D41-CBC2-4D38-9609-2514FF8AAA97}">
  <dimension ref="A2:E24"/>
  <sheetViews>
    <sheetView workbookViewId="0"/>
  </sheetViews>
  <sheetFormatPr baseColWidth="10" defaultColWidth="11.44140625" defaultRowHeight="14.4" x14ac:dyDescent="0.3"/>
  <cols>
    <col min="1" max="1" width="21.33203125" style="81" bestFit="1" customWidth="1"/>
    <col min="2" max="2" width="11.44140625" style="81"/>
    <col min="3" max="3" width="4.5546875" style="81" bestFit="1" customWidth="1"/>
    <col min="4" max="16384" width="11.44140625" style="81"/>
  </cols>
  <sheetData>
    <row r="2" spans="1:5" x14ac:dyDescent="0.3">
      <c r="A2" s="275" t="s">
        <v>277</v>
      </c>
      <c r="B2" s="275"/>
      <c r="C2" s="275"/>
    </row>
    <row r="3" spans="1:5" x14ac:dyDescent="0.3">
      <c r="A3" s="276" t="s">
        <v>278</v>
      </c>
      <c r="B3" s="81" t="s">
        <v>152</v>
      </c>
      <c r="C3" s="84">
        <v>0.25</v>
      </c>
    </row>
    <row r="4" spans="1:5" x14ac:dyDescent="0.3">
      <c r="A4" s="276"/>
      <c r="B4" s="81" t="s">
        <v>279</v>
      </c>
      <c r="C4" s="84">
        <v>0.15</v>
      </c>
    </row>
    <row r="5" spans="1:5" x14ac:dyDescent="0.3">
      <c r="A5" s="276"/>
      <c r="B5" s="81" t="s">
        <v>280</v>
      </c>
      <c r="C5" s="84">
        <v>0.1</v>
      </c>
    </row>
    <row r="6" spans="1:5" x14ac:dyDescent="0.3">
      <c r="A6" s="83"/>
      <c r="B6" s="81" t="s">
        <v>159</v>
      </c>
    </row>
    <row r="7" spans="1:5" x14ac:dyDescent="0.3">
      <c r="A7" s="276" t="s">
        <v>281</v>
      </c>
      <c r="B7" s="81" t="s">
        <v>282</v>
      </c>
      <c r="C7" s="84">
        <v>0.25</v>
      </c>
    </row>
    <row r="8" spans="1:5" x14ac:dyDescent="0.3">
      <c r="A8" s="276"/>
      <c r="B8" s="81" t="s">
        <v>62</v>
      </c>
      <c r="C8" s="84">
        <v>0.15</v>
      </c>
    </row>
    <row r="9" spans="1:5" x14ac:dyDescent="0.3">
      <c r="A9" s="83"/>
      <c r="B9" s="81" t="s">
        <v>159</v>
      </c>
      <c r="C9" s="84"/>
    </row>
    <row r="11" spans="1:5" x14ac:dyDescent="0.3">
      <c r="A11" s="275" t="s">
        <v>283</v>
      </c>
      <c r="B11" s="275"/>
      <c r="C11" s="275"/>
    </row>
    <row r="12" spans="1:5" x14ac:dyDescent="0.3">
      <c r="A12" s="276" t="s">
        <v>147</v>
      </c>
      <c r="B12" s="81" t="s">
        <v>153</v>
      </c>
      <c r="C12" s="84"/>
      <c r="D12" s="276" t="s">
        <v>38</v>
      </c>
      <c r="E12" s="81" t="s">
        <v>154</v>
      </c>
    </row>
    <row r="13" spans="1:5" x14ac:dyDescent="0.3">
      <c r="A13" s="276"/>
      <c r="B13" s="81" t="s">
        <v>284</v>
      </c>
      <c r="C13" s="84"/>
      <c r="D13" s="276"/>
      <c r="E13" s="81" t="s">
        <v>285</v>
      </c>
    </row>
    <row r="14" spans="1:5" x14ac:dyDescent="0.3">
      <c r="A14" s="276" t="s">
        <v>149</v>
      </c>
      <c r="B14" s="81" t="s">
        <v>156</v>
      </c>
      <c r="C14" s="84"/>
      <c r="D14" s="276" t="s">
        <v>286</v>
      </c>
      <c r="E14" s="81" t="s">
        <v>155</v>
      </c>
    </row>
    <row r="15" spans="1:5" x14ac:dyDescent="0.3">
      <c r="A15" s="276"/>
      <c r="B15" s="81" t="s">
        <v>287</v>
      </c>
      <c r="C15" s="84"/>
      <c r="D15" s="276"/>
      <c r="E15" s="81" t="s">
        <v>288</v>
      </c>
    </row>
    <row r="16" spans="1:5" x14ac:dyDescent="0.3">
      <c r="A16" s="276" t="s">
        <v>150</v>
      </c>
      <c r="B16" s="81" t="s">
        <v>157</v>
      </c>
    </row>
    <row r="17" spans="1:2" x14ac:dyDescent="0.3">
      <c r="A17" s="276"/>
      <c r="B17" s="81" t="s">
        <v>289</v>
      </c>
    </row>
    <row r="19" spans="1:2" x14ac:dyDescent="0.3">
      <c r="A19" s="277" t="s">
        <v>290</v>
      </c>
      <c r="B19" s="277"/>
    </row>
    <row r="20" spans="1:2" x14ac:dyDescent="0.3">
      <c r="A20" s="81" t="s">
        <v>163</v>
      </c>
      <c r="B20" s="82">
        <v>0.2</v>
      </c>
    </row>
    <row r="21" spans="1:2" x14ac:dyDescent="0.3">
      <c r="A21" s="81" t="s">
        <v>151</v>
      </c>
      <c r="B21" s="82">
        <v>0.4</v>
      </c>
    </row>
    <row r="22" spans="1:2" x14ac:dyDescent="0.3">
      <c r="A22" s="81" t="s">
        <v>166</v>
      </c>
      <c r="B22" s="82">
        <v>0.6</v>
      </c>
    </row>
    <row r="23" spans="1:2" x14ac:dyDescent="0.3">
      <c r="A23" s="81" t="s">
        <v>233</v>
      </c>
      <c r="B23" s="82">
        <v>0.8</v>
      </c>
    </row>
    <row r="24" spans="1:2" x14ac:dyDescent="0.3">
      <c r="A24" s="81" t="s">
        <v>236</v>
      </c>
      <c r="B24" s="82">
        <v>1</v>
      </c>
    </row>
  </sheetData>
  <mergeCells count="10">
    <mergeCell ref="A19:B19"/>
    <mergeCell ref="A16:A17"/>
    <mergeCell ref="A3:A5"/>
    <mergeCell ref="A7:A8"/>
    <mergeCell ref="A2:C2"/>
    <mergeCell ref="A11:C11"/>
    <mergeCell ref="A12:A13"/>
    <mergeCell ref="A14:A15"/>
    <mergeCell ref="D12:D13"/>
    <mergeCell ref="D14:D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9c95be-1f31-46f2-a786-fb332161d145">
      <Terms xmlns="http://schemas.microsoft.com/office/infopath/2007/PartnerControls"/>
    </lcf76f155ced4ddcb4097134ff3c332f>
    <TaxCatchAll xmlns="38ef67d2-6151-4d5a-b01d-9e1fa2428a9e" xsi:nil="true"/>
    <SharedWithUsers xmlns="38ef67d2-6151-4d5a-b01d-9e1fa2428a9e">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E45575AD94644085A1B5F9F0DFCB8C" ma:contentTypeVersion="32" ma:contentTypeDescription="Crear nuevo documento." ma:contentTypeScope="" ma:versionID="2deafb381d840f2f931508fe09d4642d">
  <xsd:schema xmlns:xsd="http://www.w3.org/2001/XMLSchema" xmlns:xs="http://www.w3.org/2001/XMLSchema" xmlns:p="http://schemas.microsoft.com/office/2006/metadata/properties" xmlns:ns2="5c9c95be-1f31-46f2-a786-fb332161d145" xmlns:ns3="38ef67d2-6151-4d5a-b01d-9e1fa2428a9e" targetNamespace="http://schemas.microsoft.com/office/2006/metadata/properties" ma:root="true" ma:fieldsID="f1398595acaacca29fed334b4c4ab0b5" ns2:_="" ns3:_="">
    <xsd:import namespace="5c9c95be-1f31-46f2-a786-fb332161d145"/>
    <xsd:import namespace="38ef67d2-6151-4d5a-b01d-9e1fa2428a9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c95be-1f31-46f2-a786-fb332161d14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f14a09-b142-4f1a-9b1d-85a23056d56a"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ef67d2-6151-4d5a-b01d-9e1fa2428a9e"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888f99e3-9f77-4a18-bdd5-c49b12b61a84}" ma:internalName="TaxCatchAll" ma:showField="CatchAllData" ma:web="38ef67d2-6151-4d5a-b01d-9e1fa2428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A51715-1799-4D5B-A48F-7F7F67312119}">
  <ds:schemaRefs>
    <ds:schemaRef ds:uri="http://schemas.microsoft.com/office/2006/metadata/properties"/>
    <ds:schemaRef ds:uri="http://schemas.microsoft.com/office/infopath/2007/PartnerControls"/>
    <ds:schemaRef ds:uri="5c9c95be-1f31-46f2-a786-fb332161d145"/>
    <ds:schemaRef ds:uri="38ef67d2-6151-4d5a-b01d-9e1fa2428a9e"/>
  </ds:schemaRefs>
</ds:datastoreItem>
</file>

<file path=customXml/itemProps2.xml><?xml version="1.0" encoding="utf-8"?>
<ds:datastoreItem xmlns:ds="http://schemas.openxmlformats.org/officeDocument/2006/customXml" ds:itemID="{70CD83CB-75FA-4324-BB4C-E6B6BABACD16}">
  <ds:schemaRefs>
    <ds:schemaRef ds:uri="http://schemas.microsoft.com/sharepoint/v3/contenttype/forms"/>
  </ds:schemaRefs>
</ds:datastoreItem>
</file>

<file path=customXml/itemProps3.xml><?xml version="1.0" encoding="utf-8"?>
<ds:datastoreItem xmlns:ds="http://schemas.openxmlformats.org/officeDocument/2006/customXml" ds:itemID="{AD602A60-D1DB-4835-AFEC-AD9CB20B10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9c95be-1f31-46f2-a786-fb332161d145"/>
    <ds:schemaRef ds:uri="38ef67d2-6151-4d5a-b01d-9e1fa2428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1. Mapa y plan de tratamiento</vt:lpstr>
      <vt:lpstr>2. Evaluación de controles</vt:lpstr>
      <vt:lpstr>Anexos</vt:lpstr>
      <vt:lpstr>Criterios</vt:lpstr>
      <vt:lpstr>'1. Mapa y plan de tratamiento'!Área_de_impresión</vt:lpstr>
      <vt:lpstr>'2. Evaluación de controles'!Área_de_impresión</vt:lpstr>
      <vt:lpstr>Anexos!Área_de_impresión</vt:lpstr>
      <vt:lpstr>'2. Evaluación de controles'!Títulos_a_imprimir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bperez</dc:creator>
  <cp:keywords/>
  <dc:description/>
  <cp:lastModifiedBy>David Andres Moncayo Nastar</cp:lastModifiedBy>
  <cp:revision/>
  <dcterms:created xsi:type="dcterms:W3CDTF">2008-09-05T19:47:59Z</dcterms:created>
  <dcterms:modified xsi:type="dcterms:W3CDTF">2026-01-21T00:56:56Z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0x01010082E45575AD94644085A1B5F9F0DFCB8C</vt:lpwstr>
  </property>
  <property fmtid="{D5CDD505-2E9C-101B-9397-08002B2CF9AE}" pid="3" name="Order">
    <vt:r8>581800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ies>
</file>