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https://sdisgovco-my.sharepoint.com/personal/sarenasv_sdis_gov_co/Documents/2026 contrato 0787/01. Enero/3. Riesgos/"/>
    </mc:Choice>
  </mc:AlternateContent>
  <xr:revisionPtr revIDLastSave="27" documentId="8_{CD8A4F22-2FCD-465C-9A03-9FE79AAF2B4D}" xr6:coauthVersionLast="47" xr6:coauthVersionMax="47" xr10:uidLastSave="{FF12FE95-5D79-4FB8-8E1C-46FA86F69C06}"/>
  <bookViews>
    <workbookView xWindow="-120" yWindow="-120" windowWidth="29040" windowHeight="15840" tabRatio="766" xr2:uid="{00000000-000D-0000-FFFF-FFFF00000000}"/>
  </bookViews>
  <sheets>
    <sheet name="1. Mapa y plan de tratamiento" sheetId="5" r:id="rId1"/>
    <sheet name="2. Evaluación de controles" sheetId="8" r:id="rId2"/>
    <sheet name="Anexos" sheetId="7" r:id="rId3"/>
    <sheet name="Criterios" sheetId="9" state="hidden" r:id="rId4"/>
  </sheets>
  <definedNames>
    <definedName name="_xlnm._FilterDatabase" localSheetId="1" hidden="1">'2. Evaluación de controles'!#REF!</definedName>
    <definedName name="_xlnm.Print_Area" localSheetId="0">'1. Mapa y plan de tratamiento'!$A$1:$AW$15</definedName>
    <definedName name="_xlnm.Print_Area" localSheetId="1">'2. Evaluación de controles'!$A$46:$W$67</definedName>
    <definedName name="_xlnm.Print_Area" localSheetId="2">Anexos!$A$1:$G$45</definedName>
    <definedName name="_xlnm.Print_Titles" localSheetId="1">'2. Evaluación de controles'!$2:$5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1" i="5" l="1"/>
  <c r="AR13" i="5" l="1"/>
  <c r="AS13" i="5"/>
  <c r="AF13" i="5"/>
  <c r="AR11" i="5" l="1"/>
  <c r="AM11" i="5"/>
  <c r="AL11" i="5"/>
  <c r="T14" i="5" l="1"/>
  <c r="AM6" i="5" l="1"/>
  <c r="AF11" i="5" l="1"/>
  <c r="AM13" i="5"/>
  <c r="AL13" i="5"/>
  <c r="AG11" i="5"/>
  <c r="AA11" i="5"/>
  <c r="AA13" i="5" l="1"/>
  <c r="T11" i="5"/>
  <c r="AG13" i="5"/>
  <c r="I64" i="8" l="1"/>
  <c r="I63" i="8"/>
  <c r="I58" i="8"/>
  <c r="I57" i="8"/>
  <c r="T13" i="5"/>
  <c r="T12" i="5"/>
  <c r="G20" i="8" l="1"/>
  <c r="G60" i="8" s="1"/>
  <c r="G21" i="8"/>
  <c r="G61" i="8" s="1"/>
  <c r="G16" i="8"/>
  <c r="G56" i="8" s="1"/>
  <c r="G14" i="8"/>
  <c r="G54" i="8" s="1"/>
  <c r="F16" i="8"/>
  <c r="F56" i="8" s="1"/>
  <c r="F14" i="8"/>
  <c r="F54" i="8" s="1"/>
  <c r="R11" i="5" l="1"/>
  <c r="L13" i="5" l="1"/>
  <c r="K15" i="8" l="1"/>
  <c r="E14" i="8"/>
  <c r="I14" i="8"/>
  <c r="K14" i="8"/>
  <c r="I15" i="8"/>
  <c r="I16" i="8"/>
  <c r="K16" i="8"/>
  <c r="I17" i="8"/>
  <c r="K17" i="8"/>
  <c r="I18" i="8"/>
  <c r="K18" i="8"/>
  <c r="I19" i="8"/>
  <c r="K19" i="8"/>
  <c r="E20" i="8"/>
  <c r="I20" i="8"/>
  <c r="K20" i="8"/>
  <c r="Q20" i="8" s="1"/>
  <c r="R20" i="8" s="1"/>
  <c r="I21" i="8"/>
  <c r="K21" i="8"/>
  <c r="I22" i="8"/>
  <c r="K22" i="8"/>
  <c r="I23" i="8"/>
  <c r="K23" i="8"/>
  <c r="I24" i="8"/>
  <c r="K24" i="8"/>
  <c r="I25" i="8"/>
  <c r="K25" i="8"/>
  <c r="E26" i="8"/>
  <c r="I26" i="8"/>
  <c r="K26" i="8"/>
  <c r="I27" i="8"/>
  <c r="K27" i="8"/>
  <c r="I28" i="8"/>
  <c r="K28" i="8"/>
  <c r="I29" i="8"/>
  <c r="K29" i="8"/>
  <c r="I30" i="8"/>
  <c r="K30" i="8"/>
  <c r="I31" i="8"/>
  <c r="K31" i="8"/>
  <c r="E32" i="8"/>
  <c r="I32" i="8"/>
  <c r="K32" i="8"/>
  <c r="I33" i="8"/>
  <c r="K33" i="8"/>
  <c r="I34" i="8"/>
  <c r="K34" i="8"/>
  <c r="I35" i="8"/>
  <c r="K35" i="8"/>
  <c r="I36" i="8"/>
  <c r="K36" i="8"/>
  <c r="I37" i="8"/>
  <c r="K37" i="8"/>
  <c r="E38" i="8"/>
  <c r="I38" i="8"/>
  <c r="K38" i="8"/>
  <c r="I39" i="8"/>
  <c r="K39" i="8"/>
  <c r="I40" i="8"/>
  <c r="K40" i="8"/>
  <c r="I41" i="8"/>
  <c r="K41" i="8"/>
  <c r="I42" i="8"/>
  <c r="K42" i="8"/>
  <c r="I43" i="8"/>
  <c r="K43" i="8"/>
  <c r="E54" i="8"/>
  <c r="I54" i="8"/>
  <c r="K54" i="8"/>
  <c r="I55" i="8"/>
  <c r="K55" i="8"/>
  <c r="I56" i="8"/>
  <c r="K56" i="8"/>
  <c r="K57" i="8"/>
  <c r="K58" i="8"/>
  <c r="I59" i="8"/>
  <c r="K59" i="8"/>
  <c r="E60" i="8"/>
  <c r="I60" i="8"/>
  <c r="K60" i="8"/>
  <c r="I61" i="8"/>
  <c r="K61" i="8"/>
  <c r="I62" i="8"/>
  <c r="K62" i="8"/>
  <c r="K63" i="8"/>
  <c r="K64" i="8"/>
  <c r="I65" i="8"/>
  <c r="K65" i="8"/>
  <c r="E77" i="8"/>
  <c r="I77" i="8"/>
  <c r="K77" i="8"/>
  <c r="I78" i="8"/>
  <c r="K78" i="8"/>
  <c r="I79" i="8"/>
  <c r="K79" i="8"/>
  <c r="I80" i="8"/>
  <c r="K80" i="8"/>
  <c r="I81" i="8"/>
  <c r="K81" i="8"/>
  <c r="I82" i="8"/>
  <c r="K82" i="8"/>
  <c r="E83" i="8"/>
  <c r="I83" i="8"/>
  <c r="K83" i="8"/>
  <c r="I84" i="8"/>
  <c r="K84" i="8"/>
  <c r="I85" i="8"/>
  <c r="K85" i="8"/>
  <c r="I86" i="8"/>
  <c r="K86" i="8"/>
  <c r="I87" i="8"/>
  <c r="K87" i="8"/>
  <c r="I88" i="8"/>
  <c r="K88" i="8"/>
  <c r="Q21" i="8" l="1"/>
  <c r="Q77" i="8"/>
  <c r="Q55" i="8"/>
  <c r="R21" i="8"/>
  <c r="S20" i="8" s="1"/>
  <c r="Q24" i="8"/>
  <c r="R24" i="8" s="1"/>
  <c r="Q22" i="8"/>
  <c r="R22" i="8" s="1"/>
  <c r="Q25" i="8"/>
  <c r="R25" i="8" s="1"/>
  <c r="Q23" i="8"/>
  <c r="Q35" i="8"/>
  <c r="Q80" i="8"/>
  <c r="Q65" i="8"/>
  <c r="R65" i="8" s="1"/>
  <c r="Q32" i="8"/>
  <c r="R32" i="8" s="1"/>
  <c r="Q83" i="8"/>
  <c r="R83" i="8" s="1"/>
  <c r="R77" i="8"/>
  <c r="Q86" i="8"/>
  <c r="Q78" i="8"/>
  <c r="Q43" i="8"/>
  <c r="R43" i="8" s="1"/>
  <c r="S42" i="8" s="1"/>
  <c r="T38" i="8" s="1"/>
  <c r="U38" i="8" s="1"/>
  <c r="Q56" i="8"/>
  <c r="Q38" i="8"/>
  <c r="R38" i="8" s="1"/>
  <c r="Q33" i="8"/>
  <c r="Q84" i="8"/>
  <c r="Q58" i="8"/>
  <c r="R58" i="8" s="1"/>
  <c r="Q54" i="8"/>
  <c r="R54" i="8" s="1"/>
  <c r="Q85" i="8"/>
  <c r="R85" i="8" s="1"/>
  <c r="Q82" i="8"/>
  <c r="R82" i="8" s="1"/>
  <c r="Q60" i="8"/>
  <c r="R60" i="8" s="1"/>
  <c r="Q31" i="8"/>
  <c r="R31" i="8" s="1"/>
  <c r="S30" i="8" s="1"/>
  <c r="T26" i="8" s="1"/>
  <c r="U26" i="8" s="1"/>
  <c r="Q87" i="8"/>
  <c r="R87" i="8" s="1"/>
  <c r="Q57" i="8"/>
  <c r="Q28" i="8"/>
  <c r="R28" i="8" s="1"/>
  <c r="Q39" i="8"/>
  <c r="Q30" i="8"/>
  <c r="R30" i="8" s="1"/>
  <c r="Q63" i="8"/>
  <c r="Q27" i="8"/>
  <c r="Q40" i="8"/>
  <c r="R40" i="8" s="1"/>
  <c r="Q79" i="8"/>
  <c r="Q61" i="8"/>
  <c r="Q29" i="8"/>
  <c r="Q88" i="8"/>
  <c r="R88" i="8" s="1"/>
  <c r="Q64" i="8"/>
  <c r="R64" i="8" s="1"/>
  <c r="Q42" i="8"/>
  <c r="R42" i="8" s="1"/>
  <c r="Q37" i="8"/>
  <c r="R37" i="8" s="1"/>
  <c r="S36" i="8" s="1"/>
  <c r="Q59" i="8"/>
  <c r="R59" i="8" s="1"/>
  <c r="Q17" i="8"/>
  <c r="Q81" i="8"/>
  <c r="R81" i="8" s="1"/>
  <c r="Q41" i="8"/>
  <c r="Q34" i="8"/>
  <c r="R34" i="8" s="1"/>
  <c r="Q62" i="8"/>
  <c r="R62" i="8" s="1"/>
  <c r="Q36" i="8"/>
  <c r="R36" i="8" s="1"/>
  <c r="Q26" i="8"/>
  <c r="R26" i="8" s="1"/>
  <c r="Q19" i="8"/>
  <c r="R19" i="8" s="1"/>
  <c r="Q16" i="8"/>
  <c r="Q18" i="8"/>
  <c r="R18" i="8" s="1"/>
  <c r="Q14" i="8"/>
  <c r="R14" i="8" s="1"/>
  <c r="Q15" i="8"/>
  <c r="L11" i="5"/>
  <c r="R13" i="5"/>
  <c r="S87" i="8" l="1"/>
  <c r="R55" i="8"/>
  <c r="S54" i="8" s="1"/>
  <c r="S81" i="8"/>
  <c r="S64" i="8"/>
  <c r="R78" i="8"/>
  <c r="S77" i="8" s="1"/>
  <c r="S58" i="8"/>
  <c r="R56" i="8"/>
  <c r="R57" i="8" s="1"/>
  <c r="S56" i="8" s="1"/>
  <c r="R23" i="8"/>
  <c r="S22" i="8" s="1"/>
  <c r="S24" i="8"/>
  <c r="R33" i="8"/>
  <c r="S32" i="8" s="1"/>
  <c r="R35" i="8"/>
  <c r="S34" i="8" s="1"/>
  <c r="R84" i="8"/>
  <c r="S83" i="8" s="1"/>
  <c r="R29" i="8"/>
  <c r="S28" i="8" s="1"/>
  <c r="R41" i="8"/>
  <c r="S40" i="8" s="1"/>
  <c r="R86" i="8"/>
  <c r="S85" i="8" s="1"/>
  <c r="R61" i="8"/>
  <c r="S60" i="8" s="1"/>
  <c r="R63" i="8"/>
  <c r="S62" i="8" s="1"/>
  <c r="R27" i="8"/>
  <c r="S26" i="8" s="1"/>
  <c r="R15" i="8"/>
  <c r="S14" i="8" s="1"/>
  <c r="R39" i="8"/>
  <c r="S38" i="8" s="1"/>
  <c r="T32" i="8"/>
  <c r="U32" i="8" s="1"/>
  <c r="S18" i="8"/>
  <c r="T83" i="8" l="1"/>
  <c r="U83" i="8" s="1"/>
  <c r="R79" i="8"/>
  <c r="R80" i="8" s="1"/>
  <c r="S79" i="8" s="1"/>
  <c r="T77" i="8" s="1"/>
  <c r="U77" i="8" s="1"/>
  <c r="T54" i="8"/>
  <c r="U54" i="8" s="1"/>
  <c r="T60" i="8"/>
  <c r="U60" i="8" s="1"/>
  <c r="T20" i="8"/>
  <c r="R16" i="8"/>
  <c r="R17" i="8" s="1"/>
  <c r="S16" i="8" s="1"/>
  <c r="T14" i="8" s="1"/>
  <c r="U14" i="8" s="1"/>
</calcChain>
</file>

<file path=xl/sharedStrings.xml><?xml version="1.0" encoding="utf-8"?>
<sst xmlns="http://schemas.openxmlformats.org/spreadsheetml/2006/main" count="680" uniqueCount="271">
  <si>
    <t>PROCESO SISTEMA DE GESTIÓN
FORMATO MAPA DE RIESGOS</t>
  </si>
  <si>
    <t>Código:</t>
  </si>
  <si>
    <t>FOR-SG-013</t>
  </si>
  <si>
    <t>Versión:</t>
  </si>
  <si>
    <t>Fecha:</t>
  </si>
  <si>
    <t>Memo I2025005913 – 21/02/2025</t>
  </si>
  <si>
    <t>Página:</t>
  </si>
  <si>
    <t>1 de 3</t>
  </si>
  <si>
    <t>Clasificación: Información Pública</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</si>
  <si>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</si>
  <si>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</si>
  <si>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</si>
  <si>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</si>
  <si>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</si>
  <si>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</si>
  <si>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</si>
  <si>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</si>
  <si>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</si>
  <si>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</si>
  <si>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raíz</t>
  </si>
  <si>
    <t>Riesgo</t>
  </si>
  <si>
    <t>Área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</si>
  <si>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</si>
  <si>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</si>
  <si>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</si>
  <si>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</si>
  <si>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</si>
  <si>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</si>
  <si>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</si>
  <si>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</si>
  <si>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t>
  </si>
  <si>
    <t>Monitoreo segundo trimestre</t>
  </si>
  <si>
    <t>Monitoreo tercer 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</si>
  <si>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</si>
  <si>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</si>
  <si>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</si>
  <si>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</si>
  <si>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</si>
  <si>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</si>
  <si>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</si>
  <si>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</si>
  <si>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</si>
  <si>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</si>
  <si>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</si>
  <si>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</si>
  <si>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</si>
  <si>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</si>
  <si>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</si>
  <si>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</si>
  <si>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Gestionar, coordinar y administrar los bienes muebles y equipos por medio de herramientas que permitan el control de inventarios, así como facilitar los servicios de apoyo necesarios para la atención logística institucional por medio de la supervisión de contratos, con el fin de contribuir al normal funcionamiento de la Entidad.</t>
  </si>
  <si>
    <t>Gestionar los procesos de selección para la adquisición de servicios de apoyo a la operación y prestación de servicios internos requeridos por la entidad</t>
  </si>
  <si>
    <t>Circular No. 018 del 31/03/2025</t>
  </si>
  <si>
    <t>R-GL-002</t>
  </si>
  <si>
    <t>1. Falta de seguimiento a la adecuada administración de los bienes y prestación de servicios de apoyo en unidades operativas de la entidad.</t>
  </si>
  <si>
    <t>Posibilidad de pérdida reputacional en la imagen institucional de la Secretaría Distrital de Integración Social por fallas en la aplicación de los procedimientos, desconocimiento y/o desviación en la ejecución de las actividades asociadas con la gestión de los servicios de apoyo logístico, debido a falta de herramientas de seguimiento e información generada en la ejecución de los servicios de apoyo.</t>
  </si>
  <si>
    <t>Económica y reputacional</t>
  </si>
  <si>
    <t>Ejecución y administración de procesos</t>
  </si>
  <si>
    <t>60% - Media</t>
  </si>
  <si>
    <t>60% - Moderado</t>
  </si>
  <si>
    <t>1. Mensualmente, el equipo de apoyo logístico asignado por el (la) Subdirector(a) Administrativo(a) y Financiero(a) es el responsable de planificar y gestionar visitas en sitio a las diferentes unidades operativas de la Entidad, con el fin de verificar la adecuada administración de los bienes y prestación de los servicios de apoyo, identificar necesidades y otras novedades.
Como evidencia se encuentra herramienta Microsoft forms, con las listas de chequeo diligenciadas en el proceso de verificación.</t>
  </si>
  <si>
    <t>Preventiva</t>
  </si>
  <si>
    <t>Manual</t>
  </si>
  <si>
    <t>40% - Baja</t>
  </si>
  <si>
    <t>Reducir</t>
  </si>
  <si>
    <t>El equipo de apoyo logístico asignado(a) por el Subdirector(a) Administrativo(a) y Financiero(a)</t>
  </si>
  <si>
    <t>(Número de visitas de verificación realizadas / Número de visitas de verificación programadas en el periodo)*100
Nota: para cada trimestre se tienen programadas 30 visitas</t>
  </si>
  <si>
    <t>NO</t>
  </si>
  <si>
    <t>14/04/2025. No se generan observaciones o recomendaciones respecto a los avances y evidencias presentados en el monitoreo al riesgo de gestión.</t>
  </si>
  <si>
    <t>En el segundo trimestre de la vigencia 2025, el equipo de apoyo logístico realizó un total de 239 visitas a las unidades operativas de la entidad, en donde se verificó la adecuada administración de los bienes y prestación de los servicios de apoyo en el marco del proyecto de CENSO a unidades operativas de la SDIS, así:
Mayo: 175 visitas
Junio: 64 visitas
Como evidencia se adjunta archivo de Excel con el consolidado de las Unidades Operativas visitadas en el periodo.
El sobrecumplimiento se presenta por el proyecto “Censo a Unidades Operativas”, el cual tiene como objetivos realizar la visita en sitio de todas las unidades operativas administradas por la entidad, para verificar, registrar y consolidar toda la información necesaria en el equipamiento y espacios físicos de las mismas, los cuales hacen parte de la planificación, ejecución y seguimiento a los servicios logísticos tales como: servicios públicos (a través de la identificación de los contadores), servicio de manipulación de alimentos (a través de la identificación de espacios como cocinas y comedores), mantenimientos (a través de la identificación y cantidad de equipos, zonas verdes, tanques de almacenamiento de agua potable, extintores), identificación de bienes en desuso, entre otros.
Para la ejecución de dicho proyecto se contó con la participación de todo el equipo de apoyo logístico de la Subdirección Administrativa y Financiera, quienes son los responsables a su vez de realizar las visitas a las Unidades operativas de la entidad, conforme a la meta y los responsables establecidos en esta actividad de control.
Así mismo, y dado que el sobrecumplimiento en la meta, corresponde al desarrollo del proyecto "Censo Unidades operativas" (visitas en sitio a todas las unidades operativas administradas por la entidad), consideramos mantener la actividad de control, la meta e indicador inicialmente establecidos, toda vez que este proyecto ya se encuentra en la etapa final, de tal forma que las visitas a unidades operativas para el segundo semestre de esta serán retomadas de acuerdo a la meta inicialmente establecida.</t>
  </si>
  <si>
    <t>10/07/2025 Revisar evidencia no es posible identificar cuales fueron las visitas realizadas por mes.
Describir las evidencias aportadas. 
22/07/2025 Se ajusta avance del primer trimestre, calculando el cumplimiento respeto al avance reportado y a la meta establecida para el periodo.
Por favor justificar dentro de la descripción del avance y evidencias: 
* El porque se presenta sobrecumplimiento y su relación con la actividad de control establecida para mitigar el riesgo.
* Debido a que la evidencia no es clara, se recomienda verificar y asegurar que se cumpla la verificación adecuada en la administración de los servicios, de acuerdo con lo establecido y el objetivo de la actividad de control.
*Así mismo, se recomienda actualizar el riesgo (actividad de control, meta e indicador), de acuerdo con la gestión a realizar en lo que resta de la vigencia.
24/07/2025. No se generan observaciones o recomendaciones respecto a los avances y evidencias presentados en el monitoreo al riesgo de gestión.</t>
  </si>
  <si>
    <t xml:space="preserve">En el tercer trimestre de la vigencia 2025, el equipo de apoyo logístico realizó un total de 15 visitas a las unidades operativas de la entidad, en donde se verificó la adecuada administración de los bienes y prestación de los servicios de apoyo, así:
Julio: 0
Agosto: 0
Septiembre 15
Como evidencia se adjunta archivo de Excel con el consolidado de las Unidades Operativas visitadas en el periodo, el cual es exportado de la herramienta Microsoft Forms:
https://forms.office.com/r/mXGur9vU8t?origin=lprLink
</t>
  </si>
  <si>
    <t>09/10/2025 Asegurar que la evidencia corresponda  a la herramienta en forms que se indica en la actividad.
15/10/2025. No se generan observaciones o recomendaciones respecto a los avances y evidencias presentados en el monitoreo al riesgo de gestión.</t>
  </si>
  <si>
    <t>2. Baja sistematización y herramientas que permitan administrar la información generada como producto de la ejecución de los servicios de apoyo.</t>
  </si>
  <si>
    <t>2.  Mensualmente el equipo de inventarios asignado por el Subdirector(a) Administrativo(a) y Financiero(a) es el responsable de planificar y gestionar las pruebas representativas o toma física de inventarios, de los bienes, muebles y equipos que se encuentran bajo la custodia y responsabilidad de los funcionarios  y contratistas de la Secretaria Distrital de Integración Social, de acuerdo a las solicitudes allegadas con el  objetivo de administrar y controlar los bienes de inventarios de toda la Entidad.
Como evidencia se cuentan con los Formato Prueba representativa de inventario de bienes (FOR-GL-044) y/o Formato Planilla física toma de inventario (FOR-GL-002), diligenciados en el periodo.</t>
  </si>
  <si>
    <t>El funcionario(a) o contratista asignado(a) por el Subdirector(a) Administrativo(a) y Financiero(a)</t>
  </si>
  <si>
    <t>(Número de pruebas representativas realizadas / Número de pruebas representativas programadas en el periodo)*100 
Nota: debido a que la actividad se ejecuta a demanda, la meta para cada trimestre es del 100%.</t>
  </si>
  <si>
    <t>Durante el primer trimestre del año 2025 se llevaron a cabo un total de 363 Pruebas Representativas en las Unidades Operativas y Dependencias de la SDIS, en las cuales se identificaron 11.101 bienes de inventario a funcionarios y contratistas de la Entidad:
Enero: 79 Pruebas
Febrero: 211 Pruebas
Marzo: 73 Pruebas</t>
  </si>
  <si>
    <t>14/04/2025 Verificar evidencias, ya que de acuerdo con lo establecido en la actividad no se identifican los formatos FOR-GL-002 y FOR-GL-044 diligenciados y las carpetas están vacías. 
Se recomienda verificar la evidencia, con el fin de facilitar su reporte, verificación y consolidación.
21/04/2025. No se generan observaciones o recomendaciones respecto a los avances y evidencias presentados en el monitoreo al riesgo de gestión.</t>
  </si>
  <si>
    <t>10/07/2025. Describir las evidencias aportadas. 
14/07/2025. No se generan observaciones o recomendaciones respecto a los avances y evidencias presentados en el monitoreo al riesgo de gestión.</t>
  </si>
  <si>
    <t>Durante tercer trimestre de la vigencia 2025 se llevó a cabo el conteo físico de 35.411 bienes en las Unidades Operativas y Dependencias de la entidad, así:
Julio: 14.520 bienes contados
Agosto: 12.481 bienes contados
Septiembre: 8.410 bienes contados
Como evidencia se adjunta:
• Archivo Excel con el consolidado y seguimiento de las tomas físicas realizadas por mes.
• Vinculo SharePoint en el cual se encuentran los formatos Planilla física toma de inventario (FOR-GL-002) diligenciados y consolidados por localidad, que corresponden a la evidencia del levantamiento físico en sitio en el periodo.</t>
  </si>
  <si>
    <t>09/10/2025 Para la próxima vigencia se recomienda complementar el indicador o criterio de medición para que sea coherente con la actividad de control.
15/10/2025. No se generan observaciones o recomendaciones respecto a los avances y evidencias presentados en el monitoreo al riesgo de gestión.</t>
  </si>
  <si>
    <t>Gestionar los procesos de selección para la adquisición de
servicios de apoyo a la operación y prestación de servicios
internos requeridos por la entidad</t>
  </si>
  <si>
    <t>R-GL-003</t>
  </si>
  <si>
    <t>1. Falta de suministro de información e insumos en tiempo real de los procesos responsables conforme a las novedades y necesidades presentadas en unidades operativas de la entidad.</t>
  </si>
  <si>
    <t>Posibilidad de suspensión o no prestación de los servicios de apoyo logístico de manera oportuna en las unidades operativas, generando inconvenientes en la prestación de los servicios misionales que ofrece la Secretaría Distrital de Integración Social a los usuarios, debido a la falta de suministro de información, novedades presentadas en las unidades operativas o falta de oportunidad en los procesos de contratación de los servicios.</t>
  </si>
  <si>
    <t>40% - Menor</t>
  </si>
  <si>
    <t>1. Semestralmente el funcionario(a) o contratista asignado(a) por el Subdirector(a) Administrativo(a) y Financiero(a) realiza seguimiento a la gestión y el estado de los procesos de contratación de servicios de apoyo logístico, de acuerdo con el Plan Anual de Adquisiciones, generando las alertas tempranas al equipo de apoyo logístico, para garantizar la oportuna contratación de los servicios de apoyo.
Como evidencia, se encuentra el archivo en formato Excel con el estado actual de los procesos de contratación y las alertas tempranas generadas.</t>
  </si>
  <si>
    <t>(Número de procesos contractuales gestionados / Número procesos contractuales requeridos en el periodo)*100 
Nota: 
Semestre I: 20 Procesos
Semestre II: 6 Procesos</t>
  </si>
  <si>
    <t>Para la Vigencia 2025 se tienen en ejecución 26 procesos contractuales, de los cuales, 3 procesos fueron adjudicados en el primer trimestre de la vigencia:
1 Transporte
2 Arrendamiento de cede Celta
3 Mensajería y correspondencia</t>
  </si>
  <si>
    <t>14/04/2025 Revisar el total de contratos, ya que en el indicador se mencionan 26 y en el avance 28.
21/04/2025. No se generan observaciones o recomendaciones respecto a los avances y evidencias presentados en el monitoreo al riesgo de gestión.</t>
  </si>
  <si>
    <t xml:space="preserve">Para la vigencia 2025 se tienen en ejecución 26 procesos contractuales, de los cuales, 17 procesos fueron adjudicados en el segundo trimestre de la vigencia:
1 Mantenimiento extintores
2 Preparación y manipulación de alimentos
3 Mantenimiento equipos conservación de alimentos
4 Mantenimiento equipos gasodomésticos
5 Mantenimiento equipos electrodomésticos
6 Mantenimiento equipo de lavadoras domésticas
7 Mantenimiento equipos lavandería industrial
8 Mantenimiento equipos gimnasia
9 Mantenimiento maquinas confección
10 Corredor de Seguros
11 Aseo y cafetería (Corredor y dos grupos)
12 Mantenimiento equipos medición y peso
13 Respel
14 Enajenación de bienes
15 Mantenimiento e intervención archivo central
16 Operador Logístico
17 Elementos de aseo personal
Como evidencia se adjunta matriz de Excel en la cual se consolida y se realiza el respectivo seguimiento al Plan Anual de adquisiciones y el estado contractual de cada uno de los procesos requeridos. </t>
  </si>
  <si>
    <t>10/07/2025. Describir las evidencias aportadas. 
14/07/2025. No se generan observaciones o recomendaciones respecto a los avances y evidencias presentados en el monitoreo al riesgo de gestión.
22/07/2025 Se ajusta avance del primer trimestre, calculando el cumplimiento respeto al avance reportado y a la meta establecida para el periodo.</t>
  </si>
  <si>
    <t xml:space="preserve">Para la vigencia 2025 se tienen en ejecución 26 procesos contractuales que corresponden a los servicios logísticos de la entidad, de los cuales 2 procesos fueron adjudicados durante el tercer trimestre del año:
• Pólizas de Seguros
• Servicio de Fotocopiado y Escáner
Como evidencia se adjunta matriz de Excel en la cual se consolida y se realiza el respectivo seguimiento al Plan Anual de adquisiciones y el estado contractual de cada uno de los procesos requeridos. </t>
  </si>
  <si>
    <t>09/10/2025 Verificar que la evidencia esta actualizada y se encuentre en coherencia con los contratos repostados, ya que en el Excel no se identifica claramente los contratos de Respel y Operador logístico.
15/10/2025. No se generan observaciones o recomendaciones respecto a los avances y evidencias presentados en el monitoreo al riesgo de gestión.</t>
  </si>
  <si>
    <t>2. Mensualmente el funcionario(a) o contratista delegado(a) por el Subdirector(a) Administrativo(a) y Financiero(a) solicita a la Subdirección de Plantas Físicas y Dirección de Análisis y Diseño Estratégico la base de datos actualizada con los predios que se encuentran bajo responsabilidad de las SDIS, adicionalmente, la Subdirección de Plantas Física realiza entrega de  las actas que contienen información de los predios que entran en funcionamiento y así mismo de los que dejan de funcionar (inclusión y exclusión de predios), con el propósito de actualizar oportunamente las bases de datos y realizar el pago masivo de los servicios públicos, para así prevenir el pago extemporáneo, la suspensión y sobrecostos  de los mismos.
Como evidencia se cuenta con las bases de datos de servicios públicos actualizadas, las  inclusiones y exclusiones presentadas en el periodo o correos electrónicos.</t>
  </si>
  <si>
    <t>(Número de bases de datos actualizadas / 10 bases de datos programados para la vigencia) * 100
Nota, avance trimestral:
I. 1 Base de datos 10%
II. 3 Bases de datos 30%
III. 3 Bases de datos 30%
IV: 3 Bases de datos 30%</t>
  </si>
  <si>
    <t>Durante el primer trimestre, se realizaron un total de 5 exclusiones (Predios que fueron entregados por la entidad por finalización del contrato o proyecto) y una (1) inclusión (Predios nuevos bajo la responsabilidad y administración de la entidad), en las cuales se actualizó la bases de datos que consolida el total de predios a cargo de la entidad para el pago de servicios públicos.
Gracias a la actualización periódica mediante las inclusiones y exclusiones de predios presentadas en el periodo se logró prevenir el pago extemporáneo, la suspensión y sobrecostos de los servicios públicos en las unidades operativas de la entidad.</t>
  </si>
  <si>
    <t>14/04/2025 Se sugiere indicar si con la actualización de la base se logro prevenir el pago extemporáneo, la suspensión y sobrecostos de los servicios.
21/04/2025. No se generan observaciones o recomendaciones respecto a los avances y evidencias presentados en el monitoreo al riesgo de gestión.</t>
  </si>
  <si>
    <t>Durante el segundo trimestre de la vigencia 2025, se realizó una (1) inclusión  (Predios nuevos bajo la responsabilidad y administración de la entidad) que corresponde al Jardín Infantil Olaya Rafael Uribe Uribe y una (1) Exclusión (Predios que fueron entregados por la entidad por finalización del contrato o proyecto) que corresponde al Jardín Infantil Mundo Nuevo. De acuerdo a las novedades presentadas en el periodo se actualizó la bases de datos que consolida el total de predios a cargo de la entidad para el pago de servicios públicos.
Como evidencia se encuentra:
• Archivo de Excel con el consolidado y control de las inclusiones y exclusiones presentadas en el periodo.
• Base de datos de Excel con el datos de servicios públicos actualizadas, con las  inclusiones y exclusiones presentadas en el periodo.
• Correos electrónicos de solicitud a la Subdirección de Plantas Físicas y Dirección de Análisis y Diseño Estratégico la base de datos actualizada con los predios que se encuentran bajo responsabilidad de las SDIS.</t>
  </si>
  <si>
    <t>10/07/2025. Se recomienda solo indicar la gestión realizada en el segundo trimestre, adicionalmente describir las evidencias aportadas y asegurar que corresponda con lo formulado en el indicador (3 bases en total, una por mes). Revisar se están adjuntando correos emitidos fuera del periodo de reporte (02/07).
14/07/2025. No se generan observaciones o recomendaciones respecto a los avances y evidencias presentados en el monitoreo al riesgo de gestión.</t>
  </si>
  <si>
    <t>Durante el tercer trimestre de la vigencia 2025, se realizaron cinco (5) inclusiones, es decir, Predios nuevos bajo la responsabilidad y administración de la entidad, por otro lado, para este periodo no se presentaron Exclusiones (Predios que fueron entregados por la entidad por finalización del contrato o proyecto). De acuerdo a las novedades presentadas en el periodo se actualizó la bases de datos que consolida el total de predios a cargo de la entidad para el pago de servicios públicos.
Como evidencia se encuentra:
• Archivo de Excel con el consolidado y control de las inclusiones y exclusiones presentadas en el periodo.
• Base de datos de Excel con el datos de servicios públicos actualizadas, con las  inclusiones y exclusiones presentadas en el periodo.
• Correos electrónicos de solicitud a la Subdirección de Plantas Físicas y Dirección de Análisis y Diseño Estratégico la base de datos actualizada con los predios que se encuentran bajo responsabilidad de las SDIS.</t>
  </si>
  <si>
    <t>09/10/2025  Verificar ya que no se evidencia la base del mes de septiembre, ya que la de junio corresponde al reporte del trimestre anterior.
15/10/2025. No se generan observaciones o recomendaciones respecto a los avances y evidencias presentados en el monitoreo al riesgo de gestión.</t>
  </si>
  <si>
    <t>2 de 3</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</si>
  <si>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</si>
  <si>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Fecha de elaboración:</t>
  </si>
  <si>
    <t>Proceso:</t>
  </si>
  <si>
    <t>Gestión logística</t>
  </si>
  <si>
    <t>Nombres y apellidos del gestor de proceso:</t>
  </si>
  <si>
    <t>Daniel Alberto Moque Reyes</t>
  </si>
  <si>
    <t>CÓDIGO</t>
  </si>
  <si>
    <t>RIESGO</t>
  </si>
  <si>
    <t>PROBABILIDAD INHERENTE</t>
  </si>
  <si>
    <t>CAUSA</t>
  </si>
  <si>
    <t>CONTROL</t>
  </si>
  <si>
    <t>CRITERIOS DE EVALUACIÓN DEL DISEÑO DEL CONTROL</t>
  </si>
  <si>
    <t>APLICACIÓN DE CONTROLES PARA ESTABLECER RIESGO RESIDUAL</t>
  </si>
  <si>
    <t>PROBABILIDAD RESIDUAL</t>
  </si>
  <si>
    <t>1. Atributos de eficiencia</t>
  </si>
  <si>
    <t>2. Atributos informativos</t>
  </si>
  <si>
    <t>Total valoración del control</t>
  </si>
  <si>
    <t>Efectividad del control</t>
  </si>
  <si>
    <t>Efectividad del conjunto de controles</t>
  </si>
  <si>
    <t>Nivel de probabilidad residual</t>
  </si>
  <si>
    <t>Rango de califiación de la ejecución</t>
  </si>
  <si>
    <t>Descriptor</t>
  </si>
  <si>
    <t>Tipo de control</t>
  </si>
  <si>
    <t>Peso</t>
  </si>
  <si>
    <t>Implementación del control</t>
  </si>
  <si>
    <t>Documentación</t>
  </si>
  <si>
    <t>¿Se identifica claramente el propósito de la actividad de control?</t>
  </si>
  <si>
    <t>Frecuencia</t>
  </si>
  <si>
    <t>Evidencia</t>
  </si>
  <si>
    <t>Media</t>
  </si>
  <si>
    <t>Preventivo</t>
  </si>
  <si>
    <t>Documentado</t>
  </si>
  <si>
    <t>Identificado</t>
  </si>
  <si>
    <t>Si</t>
  </si>
  <si>
    <t>Continua</t>
  </si>
  <si>
    <t>Con registro</t>
  </si>
  <si>
    <t>2.</t>
  </si>
  <si>
    <t>No aplica</t>
  </si>
  <si>
    <t>3.</t>
  </si>
  <si>
    <t>1.</t>
  </si>
  <si>
    <t>Baja</t>
  </si>
  <si>
    <t xml:space="preserve">2. </t>
  </si>
  <si>
    <t xml:space="preserve">1. </t>
  </si>
  <si>
    <t xml:space="preserve">3. </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</si>
  <si>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</si>
  <si>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responsable de la revisión:</t>
  </si>
  <si>
    <t>Sofy Lorena Arenas Vera</t>
  </si>
  <si>
    <t>OBSERVACIONES AL DISEÑO DEL CONTROL</t>
  </si>
  <si>
    <t>1. Eficiencia: sin observaciones
2. Informativos: sin observaciones</t>
  </si>
  <si>
    <t>1. Eficiencia: sin observaciones
2. Informativos: se recomienda verificar la evidencia, con el fin de facilitar su reporte, verificación y consolidación.</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</si>
  <si>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</si>
  <si>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responsable de la evaluación:</t>
  </si>
  <si>
    <t>Yamith Lizcano</t>
  </si>
  <si>
    <t>OBSERVACIONES A LA EJECUCIÓN DEL CONTROL</t>
  </si>
  <si>
    <t>De acuerdo con lo establecido en el numeral 7.3.2 del Lineamiento administración de riesgos (LIN-SG-001 V3):
Atributos de eficiencia: Sin observaciones.
Atributos informativos:  Sin observaciones.</t>
  </si>
  <si>
    <t>De acuerdo con lo reportado por el proceso, frente al monitoreo del primer trimestre, así como de las evidencias que respaldan su ejecución, se observó que la ejecución del control se está realizando de acuerdo con lo programado.</t>
  </si>
  <si>
    <t>De acuerdo con lo establecido en el numeral 7.3.2 del Lineamiento administración de riesgos (LIN-SG-001 V3):
Atributos de eficiencia: Sin observaciones.
Atributos informativos:  Sin observaciones.</t>
  </si>
  <si>
    <t>De acuerdo con lo observado en los reportes de monitoreo del (FOR-SG-013) SECCIÓN C. Monitoreo primer trimestre, así como de las evidencias que respaldan su ejecución, se observó que a la fecha, el control se está ejecutando de acuerdo con lo programado.</t>
  </si>
  <si>
    <t>3 de 3</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</si>
  <si>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</si>
  <si>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</si>
  <si>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</si>
  <si>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</si>
  <si>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</si>
  <si>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</si>
  <si>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</si>
  <si>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</si>
  <si>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</si>
  <si>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</si>
  <si>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</si>
  <si>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Fallas tecnológicas</t>
  </si>
  <si>
    <t>Errores en hardware, software, telecomunicaciones, interrupción de servicios básicos.</t>
  </si>
  <si>
    <t>Económica</t>
  </si>
  <si>
    <t>Relaciones laborales</t>
  </si>
  <si>
    <t>Pérdidas que surgen de acciones contrarias a las leyes o acuerdos de empleo, salud o seguridad, del pago de demandas por daños personales o de discriminación.</t>
  </si>
  <si>
    <t>Reputacional</t>
  </si>
  <si>
    <t>Usuarios, productos y prácticas</t>
  </si>
  <si>
    <t>Fallas negligentes o involuntarias de las obligaciones frente a los usuarios y que impiden satisfacer una obligación profesional frente a éstos.</t>
  </si>
  <si>
    <t>Interrupción / Eventos externos / Daños a activos fijos.</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</si>
  <si>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</si>
  <si>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</si>
  <si>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</si>
  <si>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</si>
  <si>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</si>
  <si>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Fiscal</t>
  </si>
  <si>
    <t>Es el efecto dañoso sobre los recursos públicos y/o los bienes y/o intereses patrimoniales de naturaleza pública, a causa de un evento potencial.</t>
  </si>
  <si>
    <t>LA/FT- FPADM</t>
  </si>
  <si>
    <t>Posibilidad de pérdida o daño económico o reputacional que puede sufrir una persona natural o jurídica, al ser utilizada para el lavado de activos, financiación del terrorismo o de la proliferación de armas de destrucción masiva.</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</si>
  <si>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</si>
  <si>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</si>
  <si>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</si>
  <si>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</si>
  <si>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</si>
  <si>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</si>
  <si>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</si>
  <si>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</si>
  <si>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La actividad que conlleva el riesgo se ejecuta de 3 a 24 veces por año</t>
  </si>
  <si>
    <t>El evento puede ocurrir en algún momento o se ha presentado al menos 1 vez en los últimos 5 años.</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</si>
  <si>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</si>
  <si>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</si>
  <si>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</si>
  <si>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</si>
  <si>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</si>
  <si>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</si>
  <si>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</si>
  <si>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</si>
  <si>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</si>
  <si>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</si>
  <si>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</si>
  <si>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</si>
  <si>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</si>
  <si>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</si>
  <si>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</si>
  <si>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</si>
  <si>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</si>
  <si>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</si>
  <si>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</si>
  <si>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</si>
  <si>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</si>
  <si>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</si>
  <si>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</si>
  <si>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</si>
  <si>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</si>
  <si>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</si>
  <si>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</si>
  <si>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</si>
  <si>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</si>
  <si>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80% - Mayor</t>
  </si>
  <si>
    <t>100% - Catastrófico</t>
  </si>
  <si>
    <t>100% - Muy alta</t>
  </si>
  <si>
    <t>Alto</t>
  </si>
  <si>
    <t>Extremo</t>
  </si>
  <si>
    <t>20% - Muy baja</t>
  </si>
  <si>
    <t>80% - Alta</t>
  </si>
  <si>
    <t>Bajo</t>
  </si>
  <si>
    <t>Probabilidad / 
                     Impacto</t>
  </si>
  <si>
    <t xml:space="preserve">Riesgo materializado </t>
  </si>
  <si>
    <t>Forma de ejecución</t>
  </si>
  <si>
    <t>SI</t>
  </si>
  <si>
    <t>Detectiva</t>
  </si>
  <si>
    <t>Automática</t>
  </si>
  <si>
    <t>Establecer acciones</t>
  </si>
  <si>
    <t>Decisión del lider</t>
  </si>
  <si>
    <t>Aceptar</t>
  </si>
  <si>
    <t>Evitar</t>
  </si>
  <si>
    <t>Atributos de eficiencia</t>
  </si>
  <si>
    <t>Tipo</t>
  </si>
  <si>
    <t>Detectivo</t>
  </si>
  <si>
    <t>Correctivo</t>
  </si>
  <si>
    <t>Implementación</t>
  </si>
  <si>
    <t>Automático</t>
  </si>
  <si>
    <t>Atributos informativos</t>
  </si>
  <si>
    <t>Sin documentar</t>
  </si>
  <si>
    <t>No identificado</t>
  </si>
  <si>
    <t>Propósito</t>
  </si>
  <si>
    <t>Aleatoria</t>
  </si>
  <si>
    <t>No</t>
  </si>
  <si>
    <t>Sin registro</t>
  </si>
  <si>
    <t>Probabilidad Inherente</t>
  </si>
  <si>
    <t>En el primer trimestre de la vigencia 2025, el equipo de apoyo logístico realizó un total de 39 visitas a las unidades operativas de la entidad, en donde se verificó la adecuada administración de los bienes y prestación de los servicios de apoyo, así:
Enero: 26 Visitas
Febrero: 6 Visitas
Marzo: 7 Visitas</t>
  </si>
  <si>
    <t>En el cuarto trimestre de la vigencia 2025 se llevó a cabo el conteo físico de  2.912 bienes en las Unidades Operativas y Dependencias de la entidad, así:
Octubre: 1.805 bienes contados
Noviembre: 496 bienes contados
Diciembre: 611 bienes contados
Como evidencia se adjunta:
• Archivo Excel con el consolidado y seguimiento de las tomas físicas realizadas por mes.
• Vinculo SharePoint en el cual se encuentran los formatos Planilla física toma de inventario (FOR-GL-002) diligenciados y consolidados por localidad, que corresponden a la evidencia del levantamiento físico en sitio en el periodo.</t>
  </si>
  <si>
    <t>14/01/2026 De acuerdo con los resultados del avance acumulado, se recomienda tenerlos en cuenta  para establecer la meta de la vigencia 2026.
No se generan observaciones o recomendaciones respecto a los avances y evidencias presentados en el monitoreo al riesgo de gestión.</t>
  </si>
  <si>
    <t>Durante el segundo trimestre del año 2025 se llevó el conteo físico de 42.109 bienes en las Unidades Operativas y Dependencias de la SDIS, así:
Abril: 11.442 bienes contados
Mayo: 16.963 bienes contados
Junio: 13.699 bienes contados
Como evidencia se adjunta:
• Archivo Excel con el consolidado y seguimiento de las tomas físicas realizadas por mes.
• Vinculo SharePoint en el cual se encuentran los formatos Planilla física toma de inventario (FOR-GL-002) diligenciados y consolidados por localidad, que corresponden a la evidencia del levantamiento físico en sitio en el periodo.</t>
  </si>
  <si>
    <t>14/01/2026 Para la próxima vigencia se recomienda complementar el indicador o criterio de medición para que sea coherente con la actividad de control.
No se generan observaciones o recomendaciones respecto a los avances y evidencias presentados en el monitoreo al riesgo de gestión.</t>
  </si>
  <si>
    <t>14/01/2026 No se generan observaciones o recomendaciones respecto a los avances y evidencias presentados en el monitoreo al riesgo de gestión.</t>
  </si>
  <si>
    <t>En el cuarto trimestre de la vigencia, se realizaron un total de 4 exclusiones (Predios que fueron entregados por la entidad por finalización del contrato o proyecto) y 2 inclusiones (Predios nuevos bajo la responsabilidad y administración de la entidad), en las cuales se actualizó la bases de datos que consolida el total de predios a cargo de la entidad para el pago de servicios públicos.
Como evidencia se encuentra:
• Archivo de Excel con el consolidado y control de las inclusiones y exclusiones presentadas en el periodo.
• Base de datos de Excel con el datos de servicios públicos actualizadas, con las  inclusiones y exclusiones presentadas en el periodo.
• Correos electrónicos de solicitud a la Subdirección de Plantas Físicas y Dirección de Análisis y Diseño Estratégico la base de datos actualizada con los predios que se encuentran bajo responsabilidad de las SDIS.</t>
  </si>
  <si>
    <t xml:space="preserve">En el cuarto trimestre de la vigencia 2025, el equipo de apoyo logístico realizó un total de 19 visitas a las unidades operativas de la entidad, en donde se verificó la adecuada administración de los bienes y prestación de los servicios de apoyo, así:
Octubre: 9
Noviembre: 7
Diciembre: 3
Como evidencia se adjunta archivo de Excel con el consolidado de las Unidades Operativas visitadas en el periodo, el cual es exportado de la herramienta Microsoft Forms:
https://forms.office.com/r/mXGur9vU8t?origin=lprLink
</t>
  </si>
  <si>
    <t xml:space="preserve">Durante la vigencia 2025 se llevaron a cabo un total  26 procesos contractuales que corresponden a los servicios logísticos de la entidad, de los cuales 4 procesos fueron radicados durante el cuarto trimestre del año:
• Mantenimiento extintores
• Preparación y manipulación de alimentos
• Arrendamiento sede central
• Corredor de Seguros
Como evidencia se adjunta matriz de Excel en la cual se consolida y se realiza el respectivo seguimiento al Plan Anual de adquisiciones y el estado contractual de cada uno de los procesos requeridos.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</si>
</sst>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1"/>
      <color theme="1"/>
      <name val="Calibri"/>
      <family val="2"/>
      <scheme val="minor"/>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sz val="10"/>
      <color theme="1" tint="4.9989318521683403E-2"/>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diagonal/>
    </border>
    <border>
      <left style="thin">
        <color indexed="64"/>
      </left>
      <right style="dashed">
        <color indexed="64"/>
      </right>
      <top/>
      <bottom style="thin">
        <color indexed="64"/>
      </bottom>
      <diagonal/>
    </border>
  </borders>
  <cellStyleXfs count="5">
    <xf numFmtId="0" fontId="0"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cellStyleXfs>
  <cellXfs count="265">
    <xf numFmtId="0" fontId="0" fillId="0" borderId="0" xfId="0"/>
    <xf numFmtId="0" fontId="3" fillId="2" borderId="2" xfId="0" applyFont="1" applyFill="1" applyBorder="1" applyAlignment="1" applyProtection="1">
      <alignment horizontal="center" vertical="center" wrapText="1"/>
      <protection locked="0"/>
    </xf>
    <xf numFmtId="0" fontId="3" fillId="0" borderId="0" xfId="0" applyFont="1"/>
    <xf numFmtId="0" fontId="3" fillId="0" borderId="0" xfId="0" applyFont="1" applyAlignment="1">
      <alignment vertical="center"/>
    </xf>
    <xf numFmtId="0" fontId="3" fillId="2" borderId="0" xfId="0" applyFont="1" applyFill="1" applyAlignment="1">
      <alignment vertical="center"/>
    </xf>
    <xf numFmtId="0" fontId="3"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3" fillId="8" borderId="2" xfId="0" applyFont="1" applyFill="1" applyBorder="1" applyAlignment="1" applyProtection="1">
      <alignment horizontal="center" vertical="center" wrapText="1"/>
      <protection locked="0"/>
    </xf>
    <xf numFmtId="0" fontId="5" fillId="2" borderId="0" xfId="0" applyFont="1" applyFill="1" applyProtection="1">
      <protection locked="0"/>
    </xf>
    <xf numFmtId="0" fontId="0" fillId="0" borderId="0" xfId="0" applyProtection="1">
      <protection locked="0"/>
    </xf>
    <xf numFmtId="0" fontId="5" fillId="2" borderId="0" xfId="0" applyFont="1" applyFill="1" applyAlignment="1" applyProtection="1">
      <alignment vertical="center"/>
      <protection locked="0"/>
    </xf>
    <xf numFmtId="0" fontId="3" fillId="2" borderId="0" xfId="0" applyFont="1" applyFill="1" applyProtection="1">
      <protection locked="0"/>
    </xf>
    <xf numFmtId="0" fontId="3" fillId="11" borderId="2"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top"/>
      <protection locked="0"/>
    </xf>
    <xf numFmtId="0" fontId="2" fillId="0" borderId="0" xfId="0" applyFont="1"/>
    <xf numFmtId="0" fontId="3" fillId="3" borderId="0" xfId="0" applyFont="1" applyFill="1" applyAlignment="1">
      <alignment horizontal="center" vertical="center" wrapText="1"/>
    </xf>
    <xf numFmtId="0" fontId="0" fillId="8" borderId="0" xfId="0" applyFill="1"/>
    <xf numFmtId="0" fontId="3" fillId="8" borderId="3" xfId="0" applyFont="1" applyFill="1" applyBorder="1"/>
    <xf numFmtId="0" fontId="3" fillId="0" borderId="2" xfId="0" applyFont="1" applyBorder="1" applyAlignment="1" applyProtection="1">
      <alignment horizontal="center" vertical="center" wrapText="1"/>
      <protection locked="0"/>
    </xf>
    <xf numFmtId="0" fontId="2" fillId="3" borderId="2" xfId="0" applyFont="1" applyFill="1" applyBorder="1" applyAlignment="1">
      <alignment vertical="center" wrapText="1"/>
    </xf>
    <xf numFmtId="0" fontId="0" fillId="8" borderId="0" xfId="0" applyFill="1" applyProtection="1">
      <protection locked="0"/>
    </xf>
    <xf numFmtId="0" fontId="2" fillId="3" borderId="2" xfId="0" applyFont="1" applyFill="1" applyBorder="1" applyAlignment="1">
      <alignment vertical="center"/>
    </xf>
    <xf numFmtId="9" fontId="0" fillId="3" borderId="2" xfId="0" applyNumberFormat="1" applyFill="1" applyBorder="1" applyAlignment="1">
      <alignment horizontal="center" vertical="center"/>
    </xf>
    <xf numFmtId="0" fontId="2" fillId="0" borderId="2" xfId="0" applyFont="1" applyBorder="1" applyAlignment="1">
      <alignment vertical="center"/>
    </xf>
    <xf numFmtId="0" fontId="2" fillId="7" borderId="2" xfId="0"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7" fillId="8" borderId="0" xfId="0" applyFont="1" applyFill="1" applyAlignment="1">
      <alignment horizontal="center" vertical="center"/>
    </xf>
    <xf numFmtId="0" fontId="8" fillId="8" borderId="0" xfId="0" applyFont="1" applyFill="1" applyAlignment="1">
      <alignment horizontal="center" vertical="center"/>
    </xf>
    <xf numFmtId="0" fontId="7" fillId="8" borderId="0" xfId="0" applyFont="1" applyFill="1" applyAlignment="1">
      <alignment horizontal="center"/>
    </xf>
    <xf numFmtId="0" fontId="7" fillId="8" borderId="0" xfId="0" applyFont="1" applyFill="1"/>
    <xf numFmtId="0" fontId="3" fillId="8" borderId="0" xfId="0" applyFont="1" applyFill="1"/>
    <xf numFmtId="0" fontId="8" fillId="8" borderId="0" xfId="0" applyFont="1" applyFill="1" applyAlignment="1">
      <alignment vertical="center" wrapText="1"/>
    </xf>
    <xf numFmtId="0" fontId="7" fillId="8" borderId="0" xfId="0" applyFont="1" applyFill="1" applyAlignment="1" applyProtection="1">
      <alignment vertical="center" wrapText="1"/>
      <protection locked="0"/>
    </xf>
    <xf numFmtId="0" fontId="7" fillId="8" borderId="0" xfId="0" applyFont="1" applyFill="1" applyAlignment="1">
      <alignment vertical="center"/>
    </xf>
    <xf numFmtId="0" fontId="9" fillId="2" borderId="2" xfId="0" applyFont="1" applyFill="1" applyBorder="1" applyAlignment="1">
      <alignment vertical="center"/>
    </xf>
    <xf numFmtId="0" fontId="9" fillId="2" borderId="2"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wrapText="1"/>
      <protection locked="0"/>
    </xf>
    <xf numFmtId="0" fontId="9" fillId="2" borderId="2" xfId="0" applyFont="1" applyFill="1" applyBorder="1" applyAlignment="1" applyProtection="1">
      <alignment vertical="center"/>
      <protection locked="0"/>
    </xf>
    <xf numFmtId="0" fontId="11" fillId="8" borderId="0" xfId="2" applyFont="1" applyFill="1" applyAlignment="1" applyProtection="1">
      <alignment wrapText="1"/>
      <protection locked="0"/>
    </xf>
    <xf numFmtId="0" fontId="2" fillId="8" borderId="0" xfId="2" applyFont="1" applyFill="1" applyAlignment="1" applyProtection="1">
      <alignment horizontal="left" wrapText="1"/>
      <protection locked="0"/>
    </xf>
    <xf numFmtId="0" fontId="2" fillId="8" borderId="0" xfId="2" applyFont="1" applyFill="1" applyAlignment="1" applyProtection="1">
      <alignment horizontal="center" wrapText="1"/>
      <protection locked="0"/>
    </xf>
    <xf numFmtId="0" fontId="2" fillId="8" borderId="0" xfId="2" applyFont="1" applyFill="1" applyAlignment="1" applyProtection="1">
      <alignment horizontal="center" vertical="center" wrapText="1"/>
      <protection locked="0"/>
    </xf>
    <xf numFmtId="0" fontId="11" fillId="8" borderId="0" xfId="2" applyFont="1" applyFill="1" applyAlignment="1" applyProtection="1">
      <alignment horizontal="center" wrapText="1"/>
      <protection locked="0"/>
    </xf>
    <xf numFmtId="0" fontId="2" fillId="0" borderId="0" xfId="2" applyFont="1" applyAlignment="1" applyProtection="1">
      <alignment horizontal="center" vertical="center" wrapText="1"/>
      <protection locked="0"/>
    </xf>
    <xf numFmtId="0" fontId="3" fillId="8" borderId="0" xfId="2" applyFont="1" applyFill="1" applyAlignment="1" applyProtection="1">
      <alignment horizontal="center" vertical="center" wrapText="1"/>
      <protection locked="0"/>
    </xf>
    <xf numFmtId="0" fontId="12" fillId="8" borderId="0" xfId="2" applyFont="1" applyFill="1" applyAlignment="1" applyProtection="1">
      <alignment horizontal="center" vertical="center" wrapText="1"/>
      <protection locked="0"/>
    </xf>
    <xf numFmtId="0" fontId="12" fillId="8" borderId="2" xfId="2" applyFont="1" applyFill="1" applyBorder="1" applyAlignment="1" applyProtection="1">
      <alignment horizontal="center" vertical="center" wrapText="1"/>
      <protection locked="0"/>
    </xf>
    <xf numFmtId="9" fontId="2" fillId="8" borderId="16" xfId="2" applyNumberFormat="1" applyFont="1" applyFill="1" applyBorder="1" applyAlignment="1" applyProtection="1">
      <alignment horizontal="center" vertical="center" wrapText="1"/>
      <protection hidden="1"/>
    </xf>
    <xf numFmtId="0" fontId="2" fillId="8" borderId="16" xfId="2" applyFont="1" applyFill="1" applyBorder="1" applyAlignment="1" applyProtection="1">
      <alignment horizontal="center" vertical="center" wrapText="1"/>
      <protection locked="0"/>
    </xf>
    <xf numFmtId="9" fontId="2" fillId="8" borderId="16" xfId="3" applyFont="1" applyFill="1" applyBorder="1" applyAlignment="1" applyProtection="1">
      <alignment horizontal="center" vertical="center" wrapText="1"/>
      <protection hidden="1"/>
    </xf>
    <xf numFmtId="0" fontId="2" fillId="8" borderId="16" xfId="2" applyFont="1" applyFill="1" applyBorder="1" applyAlignment="1" applyProtection="1">
      <alignment vertical="center" wrapText="1"/>
      <protection locked="0"/>
    </xf>
    <xf numFmtId="9" fontId="2" fillId="8" borderId="20" xfId="2" applyNumberFormat="1" applyFont="1" applyFill="1" applyBorder="1" applyAlignment="1" applyProtection="1">
      <alignment horizontal="center" vertical="center" wrapText="1"/>
      <protection hidden="1"/>
    </xf>
    <xf numFmtId="0" fontId="2" fillId="8" borderId="20" xfId="2" applyFont="1" applyFill="1" applyBorder="1" applyAlignment="1" applyProtection="1">
      <alignment horizontal="center" vertical="center" wrapText="1"/>
      <protection locked="0"/>
    </xf>
    <xf numFmtId="9" fontId="2" fillId="8" borderId="20" xfId="3" applyFont="1" applyFill="1" applyBorder="1" applyAlignment="1" applyProtection="1">
      <alignment horizontal="center" vertical="center" wrapText="1"/>
      <protection hidden="1"/>
    </xf>
    <xf numFmtId="0" fontId="2" fillId="8" borderId="20" xfId="2" applyFont="1" applyFill="1" applyBorder="1" applyAlignment="1" applyProtection="1">
      <alignment vertical="center" wrapText="1"/>
      <protection locked="0"/>
    </xf>
    <xf numFmtId="9" fontId="2" fillId="8" borderId="23" xfId="2" applyNumberFormat="1" applyFont="1" applyFill="1" applyBorder="1" applyAlignment="1" applyProtection="1">
      <alignment horizontal="center" vertical="center" wrapText="1"/>
      <protection hidden="1"/>
    </xf>
    <xf numFmtId="0" fontId="2" fillId="8" borderId="23" xfId="2" applyFont="1" applyFill="1" applyBorder="1" applyAlignment="1" applyProtection="1">
      <alignment horizontal="center" vertical="center" wrapText="1"/>
      <protection locked="0"/>
    </xf>
    <xf numFmtId="9" fontId="2" fillId="8" borderId="23" xfId="3" applyFont="1" applyFill="1" applyBorder="1" applyAlignment="1" applyProtection="1">
      <alignment horizontal="center" vertical="center" wrapText="1"/>
      <protection hidden="1"/>
    </xf>
    <xf numFmtId="0" fontId="2" fillId="8" borderId="23" xfId="2" applyFont="1" applyFill="1" applyBorder="1" applyAlignment="1" applyProtection="1">
      <alignment vertical="center" wrapText="1"/>
      <protection locked="0"/>
    </xf>
    <xf numFmtId="0" fontId="13" fillId="8" borderId="0" xfId="2" applyFont="1" applyFill="1" applyAlignment="1" applyProtection="1">
      <alignment horizontal="center" vertical="center" wrapText="1"/>
      <protection locked="0"/>
    </xf>
    <xf numFmtId="0" fontId="13" fillId="8" borderId="2" xfId="2" applyFont="1" applyFill="1" applyBorder="1" applyAlignment="1" applyProtection="1">
      <alignment horizontal="center" vertical="center" wrapText="1"/>
      <protection locked="0"/>
    </xf>
    <xf numFmtId="9" fontId="2" fillId="8" borderId="26" xfId="2" applyNumberFormat="1" applyFont="1" applyFill="1" applyBorder="1" applyAlignment="1" applyProtection="1">
      <alignment horizontal="center" vertical="center" wrapText="1"/>
      <protection hidden="1"/>
    </xf>
    <xf numFmtId="0" fontId="2" fillId="8" borderId="26" xfId="2" applyFont="1" applyFill="1" applyBorder="1" applyAlignment="1" applyProtection="1">
      <alignment horizontal="center" vertical="center" wrapText="1"/>
      <protection locked="0"/>
    </xf>
    <xf numFmtId="9" fontId="2" fillId="8" borderId="26" xfId="3" applyFont="1" applyFill="1" applyBorder="1" applyAlignment="1" applyProtection="1">
      <alignment horizontal="center" vertical="center" wrapText="1"/>
      <protection hidden="1"/>
    </xf>
    <xf numFmtId="0" fontId="2" fillId="8" borderId="26" xfId="2" applyFont="1" applyFill="1" applyBorder="1" applyAlignment="1" applyProtection="1">
      <alignment vertical="center" wrapText="1"/>
      <protection locked="0"/>
    </xf>
    <xf numFmtId="0" fontId="14" fillId="8" borderId="0" xfId="2" applyFont="1" applyFill="1" applyAlignment="1" applyProtection="1">
      <alignment horizontal="center" vertical="center" wrapText="1"/>
      <protection locked="0"/>
    </xf>
    <xf numFmtId="0" fontId="2" fillId="11" borderId="2" xfId="2" applyFont="1" applyFill="1" applyBorder="1" applyAlignment="1" applyProtection="1">
      <alignment horizontal="center" vertical="center" wrapText="1"/>
      <protection locked="0"/>
    </xf>
    <xf numFmtId="0" fontId="2" fillId="11" borderId="2" xfId="4" applyFill="1" applyBorder="1" applyAlignment="1" applyProtection="1">
      <alignment horizontal="center" vertical="center" wrapText="1"/>
      <protection locked="0"/>
    </xf>
    <xf numFmtId="0" fontId="16" fillId="8" borderId="0" xfId="2" applyFont="1" applyFill="1" applyAlignment="1" applyProtection="1">
      <alignment horizontal="left" vertical="center"/>
      <protection locked="0"/>
    </xf>
    <xf numFmtId="0" fontId="15" fillId="8" borderId="0" xfId="2" applyFont="1" applyFill="1" applyAlignment="1" applyProtection="1">
      <alignment horizontal="left" wrapText="1"/>
      <protection locked="0"/>
    </xf>
    <xf numFmtId="0" fontId="2" fillId="8" borderId="0" xfId="2" applyFont="1" applyFill="1" applyAlignment="1" applyProtection="1">
      <alignment horizontal="right" vertical="center" wrapText="1"/>
      <protection locked="0"/>
    </xf>
    <xf numFmtId="0" fontId="1" fillId="8" borderId="0" xfId="2" applyFill="1" applyProtection="1">
      <protection locked="0"/>
    </xf>
    <xf numFmtId="0" fontId="18" fillId="8" borderId="0" xfId="2" applyFont="1" applyFill="1" applyAlignment="1" applyProtection="1">
      <alignment horizontal="center" wrapText="1"/>
      <protection locked="0"/>
    </xf>
    <xf numFmtId="0" fontId="2" fillId="8" borderId="0" xfId="2" applyFont="1" applyFill="1" applyAlignment="1" applyProtection="1">
      <alignment vertical="center" wrapText="1"/>
      <protection locked="0"/>
    </xf>
    <xf numFmtId="0" fontId="18" fillId="8" borderId="0" xfId="2" applyFont="1" applyFill="1" applyAlignment="1" applyProtection="1">
      <alignment horizontal="left" vertical="center"/>
      <protection locked="0"/>
    </xf>
    <xf numFmtId="0" fontId="3" fillId="8" borderId="0" xfId="2" applyFont="1" applyFill="1" applyAlignment="1" applyProtection="1">
      <alignment vertical="center" wrapText="1"/>
      <protection locked="0"/>
    </xf>
    <xf numFmtId="0" fontId="9" fillId="8" borderId="2" xfId="2" applyFont="1" applyFill="1" applyBorder="1" applyAlignment="1" applyProtection="1">
      <alignment horizontal="left" vertical="center" wrapText="1"/>
      <protection locked="0"/>
    </xf>
    <xf numFmtId="0" fontId="1" fillId="0" borderId="0" xfId="2"/>
    <xf numFmtId="9" fontId="0" fillId="0" borderId="0" xfId="3" applyFont="1"/>
    <xf numFmtId="0" fontId="1" fillId="0" borderId="0" xfId="2" applyAlignment="1">
      <alignment horizontal="center" vertical="center"/>
    </xf>
    <xf numFmtId="9" fontId="1" fillId="0" borderId="0" xfId="2" applyNumberFormat="1"/>
    <xf numFmtId="0" fontId="20" fillId="2" borderId="0" xfId="0" applyFont="1" applyFill="1" applyAlignment="1" applyProtection="1">
      <alignment horizontal="center" vertical="top"/>
      <protection locked="0"/>
    </xf>
    <xf numFmtId="0" fontId="6" fillId="2" borderId="0" xfId="0" applyFont="1" applyFill="1" applyAlignment="1" applyProtection="1">
      <alignment horizontal="left" vertical="top"/>
      <protection locked="0"/>
    </xf>
    <xf numFmtId="0" fontId="21" fillId="2" borderId="0" xfId="0" applyFont="1" applyFill="1" applyAlignment="1" applyProtection="1">
      <alignment horizontal="right" vertical="top"/>
      <protection locked="0"/>
    </xf>
    <xf numFmtId="0" fontId="2" fillId="2" borderId="1" xfId="0" applyFont="1" applyFill="1" applyBorder="1" applyAlignment="1" applyProtection="1">
      <alignment horizontal="justify" vertical="center" wrapText="1"/>
      <protection locked="0"/>
    </xf>
    <xf numFmtId="0" fontId="2" fillId="2" borderId="1" xfId="0" applyFont="1" applyFill="1" applyBorder="1" applyAlignment="1" applyProtection="1">
      <alignment horizontal="center" vertical="center" wrapText="1"/>
      <protection locked="0"/>
    </xf>
    <xf numFmtId="0" fontId="2" fillId="8" borderId="26" xfId="2" applyFont="1" applyFill="1" applyBorder="1" applyAlignment="1" applyProtection="1">
      <alignment horizontal="justify" vertical="center" wrapText="1"/>
      <protection locked="0"/>
    </xf>
    <xf numFmtId="0" fontId="2" fillId="8" borderId="23" xfId="2" applyFont="1" applyFill="1" applyBorder="1" applyAlignment="1" applyProtection="1">
      <alignment horizontal="justify" vertical="center" wrapText="1"/>
      <protection locked="0"/>
    </xf>
    <xf numFmtId="0" fontId="2" fillId="8" borderId="20" xfId="2" applyFont="1" applyFill="1" applyBorder="1" applyAlignment="1" applyProtection="1">
      <alignment horizontal="justify" vertical="center" wrapText="1"/>
      <protection locked="0"/>
    </xf>
    <xf numFmtId="0" fontId="2" fillId="8" borderId="16" xfId="2" applyFont="1" applyFill="1" applyBorder="1" applyAlignment="1" applyProtection="1">
      <alignment horizontal="justify" vertical="center" wrapText="1"/>
      <protection locked="0"/>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wrapText="1"/>
      <protection locked="0"/>
    </xf>
    <xf numFmtId="0" fontId="2" fillId="8" borderId="2" xfId="0" applyFont="1" applyFill="1" applyBorder="1" applyAlignment="1" applyProtection="1">
      <alignment horizontal="justify" vertical="center" wrapText="1"/>
      <protection locked="0"/>
    </xf>
    <xf numFmtId="0" fontId="2" fillId="3" borderId="2" xfId="0" applyFont="1" applyFill="1" applyBorder="1" applyAlignment="1">
      <alignment horizontal="center" vertical="center"/>
    </xf>
    <xf numFmtId="0" fontId="2" fillId="8" borderId="0" xfId="0" applyFont="1" applyFill="1" applyProtection="1">
      <protection locked="0"/>
    </xf>
    <xf numFmtId="0" fontId="2" fillId="2" borderId="0" xfId="0" applyFont="1" applyFill="1" applyProtection="1">
      <protection locked="0"/>
    </xf>
    <xf numFmtId="0" fontId="2" fillId="8" borderId="0" xfId="0" applyFont="1" applyFill="1" applyAlignment="1" applyProtection="1">
      <alignment vertical="center"/>
      <protection locked="0"/>
    </xf>
    <xf numFmtId="0" fontId="2" fillId="2" borderId="0" xfId="0" applyFont="1" applyFill="1" applyAlignment="1" applyProtection="1">
      <alignment vertical="center"/>
      <protection locked="0"/>
    </xf>
    <xf numFmtId="14" fontId="2" fillId="2" borderId="1" xfId="1" applyNumberFormat="1" applyFont="1" applyFill="1" applyBorder="1" applyAlignment="1" applyProtection="1">
      <alignment vertical="center" wrapText="1"/>
      <protection locked="0"/>
    </xf>
    <xf numFmtId="9" fontId="2" fillId="3"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5" borderId="2" xfId="0" applyFont="1" applyFill="1" applyBorder="1" applyAlignment="1">
      <alignment horizontal="center" vertical="center"/>
    </xf>
    <xf numFmtId="0" fontId="2" fillId="6" borderId="2" xfId="0" applyFont="1" applyFill="1" applyBorder="1" applyAlignment="1">
      <alignment horizontal="center" vertical="center"/>
    </xf>
    <xf numFmtId="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14" fontId="2" fillId="0" borderId="1" xfId="1" applyNumberFormat="1" applyFont="1" applyFill="1" applyBorder="1" applyAlignment="1" applyProtection="1">
      <alignment horizontal="center" vertical="center" wrapText="1"/>
      <protection locked="0"/>
    </xf>
    <xf numFmtId="9" fontId="2" fillId="0" borderId="1" xfId="1" applyFont="1" applyFill="1" applyBorder="1" applyAlignment="1" applyProtection="1">
      <alignment horizontal="center" vertical="center" wrapText="1"/>
      <protection locked="0"/>
    </xf>
    <xf numFmtId="14" fontId="2" fillId="0" borderId="1" xfId="1" applyNumberFormat="1" applyFont="1" applyFill="1" applyBorder="1" applyAlignment="1" applyProtection="1">
      <alignment vertical="center" wrapText="1"/>
      <protection locked="0"/>
    </xf>
    <xf numFmtId="9" fontId="2" fillId="2" borderId="1" xfId="1" applyFont="1" applyFill="1" applyBorder="1" applyAlignment="1" applyProtection="1">
      <alignment horizontal="center" vertical="center" wrapText="1"/>
      <protection locked="0"/>
    </xf>
    <xf numFmtId="0" fontId="11" fillId="2" borderId="1" xfId="0" applyFont="1" applyFill="1" applyBorder="1" applyAlignment="1" applyProtection="1">
      <alignment horizontal="justify" vertical="center" wrapText="1"/>
      <protection locked="0"/>
    </xf>
    <xf numFmtId="9" fontId="3" fillId="2" borderId="0" xfId="1" applyFont="1" applyFill="1" applyAlignment="1" applyProtection="1">
      <alignment horizontal="center" vertical="top"/>
      <protection locked="0"/>
    </xf>
    <xf numFmtId="0" fontId="22" fillId="0" borderId="1" xfId="0" applyFont="1" applyBorder="1" applyAlignment="1" applyProtection="1">
      <alignment horizontal="justify" vertical="center" wrapText="1"/>
      <protection locked="0"/>
    </xf>
    <xf numFmtId="14" fontId="2" fillId="2" borderId="1" xfId="1"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locked="0"/>
    </xf>
    <xf numFmtId="0" fontId="5" fillId="2" borderId="0" xfId="0" applyFont="1" applyFill="1" applyAlignment="1" applyProtection="1">
      <alignment horizontal="center"/>
      <protection locked="0"/>
    </xf>
    <xf numFmtId="0" fontId="11" fillId="2" borderId="4"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12" borderId="4" xfId="0" applyFont="1" applyFill="1" applyBorder="1" applyAlignment="1">
      <alignment horizontal="center" vertical="center"/>
    </xf>
    <xf numFmtId="0" fontId="2" fillId="12" borderId="1" xfId="0" applyFont="1" applyFill="1" applyBorder="1" applyAlignment="1">
      <alignment horizontal="center" vertical="center"/>
    </xf>
    <xf numFmtId="0" fontId="2" fillId="2" borderId="18"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locked="0"/>
    </xf>
    <xf numFmtId="0" fontId="2" fillId="2" borderId="18" xfId="0" applyFont="1" applyFill="1" applyBorder="1" applyAlignment="1" applyProtection="1">
      <alignment horizontal="justify" vertical="center" wrapText="1"/>
      <protection locked="0"/>
    </xf>
    <xf numFmtId="0" fontId="2" fillId="2" borderId="1" xfId="0" applyFont="1" applyFill="1" applyBorder="1" applyAlignment="1" applyProtection="1">
      <alignment horizontal="justify" vertical="center" wrapText="1"/>
      <protection locked="0"/>
    </xf>
    <xf numFmtId="0" fontId="2" fillId="0" borderId="4" xfId="0" applyFont="1" applyBorder="1" applyAlignment="1" applyProtection="1">
      <alignment horizontal="justify" vertical="center" wrapText="1"/>
      <protection locked="0"/>
    </xf>
    <xf numFmtId="0" fontId="2" fillId="0" borderId="1" xfId="0" applyFont="1" applyBorder="1" applyAlignment="1" applyProtection="1">
      <alignment horizontal="justify" vertical="center" wrapText="1"/>
      <protection locked="0"/>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2" borderId="10"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3" fillId="9" borderId="6" xfId="0" applyFont="1" applyFill="1" applyBorder="1" applyAlignment="1" applyProtection="1">
      <alignment horizontal="center" vertical="center"/>
      <protection locked="0"/>
    </xf>
    <xf numFmtId="0" fontId="3" fillId="9" borderId="7"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2" fillId="2" borderId="2" xfId="0" applyFont="1" applyFill="1" applyBorder="1" applyAlignment="1" applyProtection="1">
      <alignment horizontal="center"/>
      <protection locked="0"/>
    </xf>
    <xf numFmtId="0" fontId="9" fillId="2" borderId="12"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2" borderId="0" xfId="0" applyFont="1" applyFill="1" applyAlignment="1" applyProtection="1">
      <alignment horizontal="center" vertical="top"/>
      <protection locked="0"/>
    </xf>
    <xf numFmtId="0" fontId="3" fillId="10" borderId="5" xfId="0" applyFont="1" applyFill="1" applyBorder="1" applyAlignment="1" applyProtection="1">
      <alignment horizontal="center" vertical="center"/>
      <protection locked="0"/>
    </xf>
    <xf numFmtId="0" fontId="3" fillId="10" borderId="6" xfId="0" applyFont="1" applyFill="1" applyBorder="1" applyAlignment="1" applyProtection="1">
      <alignment horizontal="center" vertical="center"/>
      <protection locked="0"/>
    </xf>
    <xf numFmtId="0" fontId="3" fillId="10" borderId="7" xfId="0" applyFont="1" applyFill="1" applyBorder="1" applyAlignment="1" applyProtection="1">
      <alignment horizontal="center" vertical="center"/>
      <protection locked="0"/>
    </xf>
    <xf numFmtId="0" fontId="3" fillId="2" borderId="0" xfId="0" applyFont="1" applyFill="1" applyAlignment="1" applyProtection="1">
      <alignment horizontal="right" vertical="top"/>
      <protection locked="0"/>
    </xf>
    <xf numFmtId="9" fontId="2" fillId="8" borderId="4" xfId="3" applyFont="1" applyFill="1" applyBorder="1" applyAlignment="1" applyProtection="1">
      <alignment horizontal="center" vertical="center" wrapText="1"/>
      <protection hidden="1"/>
    </xf>
    <xf numFmtId="9" fontId="2" fillId="8" borderId="18" xfId="3" applyFont="1" applyFill="1" applyBorder="1" applyAlignment="1" applyProtection="1">
      <alignment horizontal="center" vertical="center" wrapText="1"/>
      <protection hidden="1"/>
    </xf>
    <xf numFmtId="9" fontId="2" fillId="8" borderId="1" xfId="3" applyFont="1" applyFill="1" applyBorder="1" applyAlignment="1" applyProtection="1">
      <alignment horizontal="center" vertical="center" wrapText="1"/>
      <protection hidden="1"/>
    </xf>
    <xf numFmtId="9" fontId="2" fillId="8" borderId="4" xfId="2" applyNumberFormat="1" applyFont="1" applyFill="1" applyBorder="1" applyAlignment="1" applyProtection="1">
      <alignment horizontal="center" vertical="center" wrapText="1"/>
      <protection hidden="1"/>
    </xf>
    <xf numFmtId="9" fontId="2" fillId="8" borderId="18" xfId="2" applyNumberFormat="1" applyFont="1" applyFill="1" applyBorder="1" applyAlignment="1" applyProtection="1">
      <alignment horizontal="center" vertical="center" wrapText="1"/>
      <protection hidden="1"/>
    </xf>
    <xf numFmtId="9" fontId="2" fillId="8" borderId="1" xfId="2" applyNumberFormat="1" applyFont="1" applyFill="1" applyBorder="1" applyAlignment="1" applyProtection="1">
      <alignment horizontal="center" vertical="center" wrapText="1"/>
      <protection hidden="1"/>
    </xf>
    <xf numFmtId="0" fontId="2" fillId="8" borderId="24" xfId="2" applyFont="1" applyFill="1" applyBorder="1" applyAlignment="1" applyProtection="1">
      <alignment vertical="center" wrapText="1"/>
      <protection locked="0"/>
    </xf>
    <xf numFmtId="0" fontId="2" fillId="8" borderId="4" xfId="2" applyFont="1" applyFill="1" applyBorder="1" applyAlignment="1" applyProtection="1">
      <alignment horizontal="center" vertical="center" wrapText="1"/>
      <protection locked="0"/>
    </xf>
    <xf numFmtId="0" fontId="2" fillId="8" borderId="18" xfId="2" applyFont="1" applyFill="1" applyBorder="1" applyAlignment="1" applyProtection="1">
      <alignment horizontal="center" vertical="center" wrapText="1"/>
      <protection locked="0"/>
    </xf>
    <xf numFmtId="0" fontId="2" fillId="8" borderId="1" xfId="2" applyFont="1" applyFill="1" applyBorder="1" applyAlignment="1" applyProtection="1">
      <alignment horizontal="center" vertical="center" wrapText="1"/>
      <protection locked="0"/>
    </xf>
    <xf numFmtId="0" fontId="2" fillId="8" borderId="28" xfId="2" applyFont="1" applyFill="1" applyBorder="1" applyAlignment="1" applyProtection="1">
      <alignment horizontal="justify" vertical="center" wrapText="1"/>
      <protection locked="0"/>
    </xf>
    <xf numFmtId="0" fontId="2" fillId="8" borderId="21" xfId="2" applyFont="1" applyFill="1" applyBorder="1" applyAlignment="1" applyProtection="1">
      <alignment horizontal="justify" vertical="center" wrapText="1"/>
      <protection locked="0"/>
    </xf>
    <xf numFmtId="9" fontId="2" fillId="8" borderId="25" xfId="2" applyNumberFormat="1" applyFont="1" applyFill="1" applyBorder="1" applyAlignment="1" applyProtection="1">
      <alignment horizontal="center" vertical="center" wrapText="1"/>
      <protection hidden="1"/>
    </xf>
    <xf numFmtId="9" fontId="2" fillId="8" borderId="22" xfId="2" applyNumberFormat="1" applyFont="1" applyFill="1" applyBorder="1" applyAlignment="1" applyProtection="1">
      <alignment horizontal="center" vertical="center" wrapText="1"/>
      <protection hidden="1"/>
    </xf>
    <xf numFmtId="0" fontId="2" fillId="8" borderId="29" xfId="2" applyFont="1" applyFill="1" applyBorder="1" applyAlignment="1" applyProtection="1">
      <alignment horizontal="justify" vertical="center" wrapText="1"/>
      <protection locked="0"/>
    </xf>
    <xf numFmtId="0" fontId="2" fillId="3" borderId="4" xfId="2" applyFont="1" applyFill="1" applyBorder="1" applyAlignment="1" applyProtection="1">
      <alignment horizontal="center" vertical="center" wrapText="1"/>
      <protection locked="0"/>
    </xf>
    <xf numFmtId="0" fontId="2" fillId="3" borderId="1" xfId="2" applyFont="1" applyFill="1" applyBorder="1" applyAlignment="1" applyProtection="1">
      <alignment horizontal="center" vertical="center" wrapText="1"/>
      <protection locked="0"/>
    </xf>
    <xf numFmtId="0" fontId="2" fillId="8" borderId="30" xfId="2" applyFont="1" applyFill="1" applyBorder="1" applyAlignment="1" applyProtection="1">
      <alignment horizontal="justify" vertical="center" wrapText="1"/>
      <protection locked="0"/>
    </xf>
    <xf numFmtId="9" fontId="2" fillId="8" borderId="19" xfId="2" applyNumberFormat="1" applyFont="1" applyFill="1" applyBorder="1" applyAlignment="1" applyProtection="1">
      <alignment horizontal="center" vertical="center" wrapText="1"/>
      <protection hidden="1"/>
    </xf>
    <xf numFmtId="9" fontId="2" fillId="8" borderId="15" xfId="2" applyNumberFormat="1" applyFont="1" applyFill="1" applyBorder="1" applyAlignment="1" applyProtection="1">
      <alignment horizontal="center" vertical="center" wrapText="1"/>
      <protection hidden="1"/>
    </xf>
    <xf numFmtId="0" fontId="17" fillId="0" borderId="2" xfId="2" applyFont="1" applyBorder="1" applyAlignment="1" applyProtection="1">
      <alignment horizontal="left" vertical="center" wrapText="1"/>
      <protection locked="0"/>
    </xf>
    <xf numFmtId="0" fontId="2" fillId="8" borderId="0" xfId="2" applyFont="1" applyFill="1" applyAlignment="1" applyProtection="1">
      <alignment horizontal="right" vertical="center" wrapText="1"/>
      <protection locked="0"/>
    </xf>
    <xf numFmtId="0" fontId="2" fillId="8" borderId="9" xfId="2" applyFont="1" applyFill="1" applyBorder="1" applyAlignment="1" applyProtection="1">
      <alignment horizontal="right" vertical="center" wrapText="1"/>
      <protection locked="0"/>
    </xf>
    <xf numFmtId="14" fontId="2" fillId="8" borderId="2" xfId="2" applyNumberFormat="1" applyFont="1" applyFill="1" applyBorder="1" applyAlignment="1" applyProtection="1">
      <alignment horizontal="center" vertical="center" wrapText="1"/>
      <protection locked="0"/>
    </xf>
    <xf numFmtId="0" fontId="2" fillId="8" borderId="2" xfId="2" applyFont="1" applyFill="1" applyBorder="1" applyAlignment="1" applyProtection="1">
      <alignment horizontal="center" vertical="center" wrapText="1"/>
      <protection locked="0"/>
    </xf>
    <xf numFmtId="0" fontId="2" fillId="8" borderId="4" xfId="2" applyFont="1" applyFill="1" applyBorder="1" applyAlignment="1" applyProtection="1">
      <alignment horizontal="center" vertical="center" wrapText="1"/>
      <protection hidden="1"/>
    </xf>
    <xf numFmtId="0" fontId="2" fillId="8" borderId="18" xfId="2" applyFont="1" applyFill="1" applyBorder="1" applyAlignment="1" applyProtection="1">
      <alignment horizontal="center" vertical="center" wrapText="1"/>
      <protection hidden="1"/>
    </xf>
    <xf numFmtId="0" fontId="2" fillId="8" borderId="1" xfId="2" applyFont="1" applyFill="1" applyBorder="1" applyAlignment="1" applyProtection="1">
      <alignment horizontal="center" vertical="center" wrapText="1"/>
      <protection hidden="1"/>
    </xf>
    <xf numFmtId="0" fontId="2" fillId="8" borderId="21" xfId="2" applyFont="1" applyFill="1" applyBorder="1" applyAlignment="1" applyProtection="1">
      <alignment vertical="center" wrapText="1"/>
      <protection locked="0"/>
    </xf>
    <xf numFmtId="0" fontId="2" fillId="8" borderId="17" xfId="2" applyFont="1" applyFill="1" applyBorder="1" applyAlignment="1" applyProtection="1">
      <alignment vertical="center" wrapText="1"/>
      <protection locked="0"/>
    </xf>
    <xf numFmtId="0" fontId="2" fillId="8" borderId="27" xfId="2" applyFont="1" applyFill="1" applyBorder="1" applyAlignment="1" applyProtection="1">
      <alignment horizontal="justify" vertical="center" wrapText="1"/>
      <protection locked="0"/>
    </xf>
    <xf numFmtId="0" fontId="2" fillId="8" borderId="24" xfId="2" applyFont="1" applyFill="1" applyBorder="1" applyAlignment="1" applyProtection="1">
      <alignment horizontal="justify" vertical="center" wrapText="1"/>
      <protection locked="0"/>
    </xf>
    <xf numFmtId="0" fontId="9" fillId="8" borderId="12" xfId="2" applyFont="1" applyFill="1" applyBorder="1" applyAlignment="1" applyProtection="1">
      <alignment horizontal="center" vertical="center" wrapText="1"/>
      <protection locked="0"/>
    </xf>
    <xf numFmtId="0" fontId="9" fillId="8" borderId="14" xfId="2" applyFont="1" applyFill="1" applyBorder="1" applyAlignment="1" applyProtection="1">
      <alignment horizontal="center" vertical="center" wrapText="1"/>
      <protection locked="0"/>
    </xf>
    <xf numFmtId="0" fontId="9" fillId="8" borderId="13" xfId="2" applyFont="1" applyFill="1" applyBorder="1" applyAlignment="1" applyProtection="1">
      <alignment horizontal="center" vertical="center" wrapText="1"/>
      <protection locked="0"/>
    </xf>
    <xf numFmtId="0" fontId="9" fillId="8" borderId="8" xfId="2" applyFont="1" applyFill="1" applyBorder="1" applyAlignment="1" applyProtection="1">
      <alignment horizontal="center" vertical="center" wrapText="1"/>
      <protection locked="0"/>
    </xf>
    <xf numFmtId="0" fontId="9" fillId="8" borderId="0" xfId="2" applyFont="1" applyFill="1" applyAlignment="1" applyProtection="1">
      <alignment horizontal="center" vertical="center" wrapText="1"/>
      <protection locked="0"/>
    </xf>
    <xf numFmtId="0" fontId="9" fillId="8" borderId="9" xfId="2" applyFont="1" applyFill="1" applyBorder="1" applyAlignment="1" applyProtection="1">
      <alignment horizontal="center" vertical="center" wrapText="1"/>
      <protection locked="0"/>
    </xf>
    <xf numFmtId="0" fontId="9" fillId="8" borderId="10" xfId="2" applyFont="1" applyFill="1" applyBorder="1" applyAlignment="1" applyProtection="1">
      <alignment horizontal="center" vertical="center" wrapText="1"/>
      <protection locked="0"/>
    </xf>
    <xf numFmtId="0" fontId="9" fillId="8" borderId="3" xfId="2" applyFont="1" applyFill="1" applyBorder="1" applyAlignment="1" applyProtection="1">
      <alignment horizontal="center" vertical="center" wrapText="1"/>
      <protection locked="0"/>
    </xf>
    <xf numFmtId="0" fontId="9" fillId="8" borderId="11" xfId="2" applyFont="1" applyFill="1" applyBorder="1" applyAlignment="1" applyProtection="1">
      <alignment horizontal="center" vertical="center" wrapText="1"/>
      <protection locked="0"/>
    </xf>
    <xf numFmtId="0" fontId="11" fillId="9" borderId="2" xfId="2" applyFont="1" applyFill="1" applyBorder="1" applyAlignment="1" applyProtection="1">
      <alignment horizontal="center" vertical="center" wrapText="1"/>
      <protection locked="0"/>
    </xf>
    <xf numFmtId="0" fontId="2" fillId="11" borderId="2" xfId="2" applyFont="1" applyFill="1" applyBorder="1" applyAlignment="1" applyProtection="1">
      <alignment horizontal="center" vertical="center" wrapText="1"/>
      <protection locked="0"/>
    </xf>
    <xf numFmtId="0" fontId="2" fillId="11" borderId="4" xfId="2" applyFont="1" applyFill="1" applyBorder="1" applyAlignment="1" applyProtection="1">
      <alignment horizontal="center" vertical="center" wrapText="1"/>
      <protection locked="0"/>
    </xf>
    <xf numFmtId="0" fontId="2" fillId="11" borderId="18" xfId="2" applyFont="1" applyFill="1" applyBorder="1" applyAlignment="1" applyProtection="1">
      <alignment horizontal="center" vertical="center" wrapText="1"/>
      <protection locked="0"/>
    </xf>
    <xf numFmtId="0" fontId="2" fillId="11" borderId="1" xfId="2" applyFont="1" applyFill="1" applyBorder="1" applyAlignment="1" applyProtection="1">
      <alignment horizontal="center" vertical="center" wrapText="1"/>
      <protection locked="0"/>
    </xf>
    <xf numFmtId="0" fontId="11" fillId="3" borderId="4" xfId="2" applyFont="1" applyFill="1" applyBorder="1" applyAlignment="1" applyProtection="1">
      <alignment horizontal="center" vertical="center" wrapText="1"/>
      <protection locked="0"/>
    </xf>
    <xf numFmtId="0" fontId="11" fillId="3" borderId="1" xfId="2" applyFont="1" applyFill="1" applyBorder="1" applyAlignment="1" applyProtection="1">
      <alignment horizontal="center" vertical="center" wrapText="1"/>
      <protection locked="0"/>
    </xf>
    <xf numFmtId="0" fontId="2" fillId="8" borderId="17" xfId="2" applyFont="1" applyFill="1" applyBorder="1" applyAlignment="1" applyProtection="1">
      <alignment horizontal="justify" vertical="center" wrapText="1"/>
      <protection locked="0"/>
    </xf>
    <xf numFmtId="0" fontId="2" fillId="8" borderId="27" xfId="2" applyFont="1" applyFill="1" applyBorder="1" applyAlignment="1" applyProtection="1">
      <alignment vertical="center" wrapText="1"/>
      <protection locked="0"/>
    </xf>
    <xf numFmtId="0" fontId="2" fillId="8" borderId="3" xfId="2" applyFont="1" applyFill="1" applyBorder="1" applyAlignment="1" applyProtection="1">
      <alignment horizontal="right" vertical="center" wrapText="1"/>
      <protection locked="0"/>
    </xf>
    <xf numFmtId="0" fontId="2" fillId="8" borderId="5" xfId="2" applyFont="1" applyFill="1" applyBorder="1" applyAlignment="1" applyProtection="1">
      <alignment horizontal="center" vertical="center" wrapText="1"/>
      <protection locked="0"/>
    </xf>
    <xf numFmtId="0" fontId="2" fillId="8" borderId="7" xfId="2" applyFont="1" applyFill="1" applyBorder="1" applyAlignment="1" applyProtection="1">
      <alignment horizontal="center" vertical="center" wrapText="1"/>
      <protection locked="0"/>
    </xf>
    <xf numFmtId="0" fontId="15" fillId="0" borderId="2" xfId="2" applyFont="1" applyBorder="1" applyAlignment="1" applyProtection="1">
      <alignment horizontal="center" vertical="center" wrapText="1"/>
      <protection locked="0"/>
    </xf>
    <xf numFmtId="0" fontId="2" fillId="8" borderId="4" xfId="2" applyFont="1" applyFill="1" applyBorder="1" applyAlignment="1" applyProtection="1">
      <alignment horizontal="justify" vertical="center" wrapText="1"/>
      <protection locked="0"/>
    </xf>
    <xf numFmtId="0" fontId="2" fillId="8" borderId="18" xfId="2" applyFont="1" applyFill="1" applyBorder="1" applyAlignment="1" applyProtection="1">
      <alignment horizontal="justify" vertical="center" wrapText="1"/>
      <protection locked="0"/>
    </xf>
    <xf numFmtId="0" fontId="2" fillId="8" borderId="1" xfId="2" applyFont="1" applyFill="1" applyBorder="1" applyAlignment="1" applyProtection="1">
      <alignment horizontal="justify" vertical="center" wrapText="1"/>
      <protection locked="0"/>
    </xf>
    <xf numFmtId="0" fontId="2" fillId="3" borderId="2" xfId="2" applyFont="1" applyFill="1" applyBorder="1" applyAlignment="1" applyProtection="1">
      <alignment horizontal="center" vertical="center" wrapText="1"/>
      <protection locked="0"/>
    </xf>
    <xf numFmtId="0" fontId="2" fillId="11" borderId="5" xfId="2" applyFont="1" applyFill="1" applyBorder="1" applyAlignment="1" applyProtection="1">
      <alignment horizontal="center" vertical="center" wrapText="1"/>
      <protection locked="0"/>
    </xf>
    <xf numFmtId="0" fontId="2" fillId="11" borderId="6" xfId="2" applyFont="1" applyFill="1" applyBorder="1" applyAlignment="1" applyProtection="1">
      <alignment horizontal="center" vertical="center" wrapText="1"/>
      <protection locked="0"/>
    </xf>
    <xf numFmtId="0" fontId="2" fillId="11" borderId="7" xfId="2" applyFont="1" applyFill="1" applyBorder="1" applyAlignment="1" applyProtection="1">
      <alignment horizontal="center" vertical="center" wrapText="1"/>
      <protection locked="0"/>
    </xf>
    <xf numFmtId="0" fontId="19" fillId="8" borderId="12" xfId="2" applyFont="1" applyFill="1" applyBorder="1" applyAlignment="1" applyProtection="1">
      <alignment horizontal="center"/>
      <protection locked="0"/>
    </xf>
    <xf numFmtId="0" fontId="19" fillId="8" borderId="13" xfId="2" applyFont="1" applyFill="1" applyBorder="1" applyAlignment="1" applyProtection="1">
      <alignment horizontal="center"/>
      <protection locked="0"/>
    </xf>
    <xf numFmtId="0" fontId="19" fillId="8" borderId="8" xfId="2" applyFont="1" applyFill="1" applyBorder="1" applyAlignment="1" applyProtection="1">
      <alignment horizontal="center"/>
      <protection locked="0"/>
    </xf>
    <xf numFmtId="0" fontId="19" fillId="8" borderId="9" xfId="2" applyFont="1" applyFill="1" applyBorder="1" applyAlignment="1" applyProtection="1">
      <alignment horizontal="center"/>
      <protection locked="0"/>
    </xf>
    <xf numFmtId="0" fontId="19" fillId="8" borderId="10" xfId="2" applyFont="1" applyFill="1" applyBorder="1" applyAlignment="1" applyProtection="1">
      <alignment horizontal="center"/>
      <protection locked="0"/>
    </xf>
    <xf numFmtId="0" fontId="19" fillId="8" borderId="11" xfId="2" applyFont="1" applyFill="1" applyBorder="1" applyAlignment="1" applyProtection="1">
      <alignment horizontal="center"/>
      <protection locked="0"/>
    </xf>
    <xf numFmtId="0" fontId="2" fillId="8" borderId="4" xfId="2" applyFont="1" applyFill="1" applyBorder="1" applyAlignment="1" applyProtection="1">
      <alignment horizontal="left" vertical="center" wrapText="1"/>
      <protection locked="0"/>
    </xf>
    <xf numFmtId="0" fontId="2" fillId="8" borderId="18" xfId="2" applyFont="1" applyFill="1" applyBorder="1" applyAlignment="1" applyProtection="1">
      <alignment horizontal="left" vertical="center" wrapText="1"/>
      <protection locked="0"/>
    </xf>
    <xf numFmtId="0" fontId="2" fillId="8" borderId="1" xfId="2" applyFont="1" applyFill="1" applyBorder="1" applyAlignment="1" applyProtection="1">
      <alignment horizontal="left" vertical="center" wrapText="1"/>
      <protection locked="0"/>
    </xf>
    <xf numFmtId="0" fontId="2" fillId="8" borderId="8" xfId="2" applyFont="1" applyFill="1" applyBorder="1" applyAlignment="1" applyProtection="1">
      <alignment horizontal="right" vertical="center" wrapText="1"/>
      <protection locked="0"/>
    </xf>
    <xf numFmtId="0" fontId="2" fillId="8" borderId="6" xfId="2" applyFont="1" applyFill="1" applyBorder="1" applyAlignment="1" applyProtection="1">
      <alignment horizontal="center" vertical="center" wrapText="1"/>
      <protection locked="0"/>
    </xf>
    <xf numFmtId="0" fontId="2" fillId="8" borderId="2" xfId="0" applyFont="1" applyFill="1" applyBorder="1" applyAlignment="1">
      <alignment horizontal="left" vertical="center" wrapText="1"/>
    </xf>
    <xf numFmtId="0" fontId="2" fillId="3" borderId="2" xfId="0" applyFont="1" applyFill="1" applyBorder="1" applyAlignment="1">
      <alignment horizontal="center" vertical="center"/>
    </xf>
    <xf numFmtId="0" fontId="0" fillId="3" borderId="2" xfId="0" applyFill="1" applyBorder="1" applyAlignment="1">
      <alignment horizontal="center" vertical="center"/>
    </xf>
    <xf numFmtId="0" fontId="2" fillId="3" borderId="4" xfId="0" applyFont="1" applyFill="1" applyBorder="1" applyAlignment="1">
      <alignment horizontal="center" vertical="center"/>
    </xf>
    <xf numFmtId="0" fontId="0" fillId="3" borderId="4" xfId="0"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justify" vertical="center" wrapText="1"/>
    </xf>
    <xf numFmtId="0" fontId="2" fillId="0" borderId="2" xfId="0" applyFont="1" applyBorder="1" applyAlignment="1">
      <alignment vertical="center" wrapText="1"/>
    </xf>
    <xf numFmtId="0" fontId="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2" fillId="2" borderId="2" xfId="0" applyFont="1" applyFill="1" applyBorder="1" applyAlignment="1">
      <alignment horizontal="center"/>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0" borderId="0" xfId="2" applyFont="1" applyAlignment="1">
      <alignment horizontal="center" vertical="center"/>
    </xf>
    <xf numFmtId="0" fontId="1" fillId="0" borderId="0" xfId="2" applyAlignment="1">
      <alignment horizontal="center" vertical="center"/>
    </xf>
    <xf numFmtId="0" fontId="10" fillId="0" borderId="0" xfId="2" applyFont="1" applyAlignment="1">
      <alignment horizontal="center"/>
    </xf>
  </cellXfs>
  <cellStyles count="5">
    <cellStyle name="Normal" xfId="0" builtinId="0"/>
    <cellStyle name="Normal 2" xfId="2" xr:uid="{00000000-0005-0000-0000-000001000000}"/>
    <cellStyle name="Normal 2 2" xfId="4" xr:uid="{00000000-0005-0000-0000-000002000000}"/>
    <cellStyle name="Porcentaje" xfId="1" builtinId="5"/>
    <cellStyle name="Porcentaje 2" xfId="3" xr:uid="{00000000-0005-0000-0000-000004000000}"/>
  </cellStyles>
  <dxfs count="13">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id="{2A9637B6-96E5-4BCB-9F77-1FE44F785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38" y="271540"/>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5"/>
  <sheetViews>
    <sheetView showGridLines="0" tabSelected="1" zoomScale="85" zoomScaleNormal="85" zoomScaleSheetLayoutView="80" zoomScalePageLayoutView="51" workbookViewId="0">
      <selection sqref="A1:B4"/>
    </sheetView>
  </sheetViews>
  <sheetFormatPr baseColWidth="10" defaultColWidth="11.42578125" defaultRowHeight="12.75" x14ac:dyDescent="0.2"/>
  <cols>
    <col min="1" max="1" width="15.28515625" style="9" customWidth="1"/>
    <col min="2" max="2" width="31.42578125" style="9" customWidth="1"/>
    <col min="3" max="3" width="27.140625" style="9" customWidth="1"/>
    <col min="4" max="4" width="15.28515625" style="9" customWidth="1"/>
    <col min="5" max="5" width="10.5703125" style="9" customWidth="1"/>
    <col min="6" max="6" width="30.7109375" style="9" customWidth="1"/>
    <col min="7" max="7" width="47" style="9" customWidth="1"/>
    <col min="8" max="8" width="19.5703125" style="9" customWidth="1"/>
    <col min="9" max="9" width="18.85546875" style="9" customWidth="1"/>
    <col min="10" max="10" width="13.7109375" style="9" customWidth="1"/>
    <col min="11" max="11" width="10" style="9" customWidth="1"/>
    <col min="12" max="12" width="10.85546875" style="9" bestFit="1" customWidth="1"/>
    <col min="13" max="13" width="66.140625" style="9" customWidth="1"/>
    <col min="14" max="15" width="10.85546875" style="9" customWidth="1"/>
    <col min="16" max="18" width="13" style="9" customWidth="1"/>
    <col min="19" max="19" width="11.7109375" style="9" customWidth="1"/>
    <col min="20" max="20" width="66.85546875" style="9" customWidth="1"/>
    <col min="21" max="21" width="21.42578125" style="9" customWidth="1"/>
    <col min="22" max="22" width="42.85546875" style="9" customWidth="1"/>
    <col min="23" max="27" width="12" style="9" customWidth="1"/>
    <col min="28" max="28" width="47.7109375" style="9" customWidth="1"/>
    <col min="29" max="29" width="15.5703125" style="9" customWidth="1"/>
    <col min="30" max="30" width="45" style="9" customWidth="1"/>
    <col min="31" max="31" width="9.85546875" style="9" customWidth="1"/>
    <col min="32" max="32" width="16.28515625" style="9" customWidth="1"/>
    <col min="33" max="33" width="12.5703125" style="9" customWidth="1"/>
    <col min="34" max="34" width="111.7109375" style="9" customWidth="1"/>
    <col min="35" max="35" width="15" style="9" customWidth="1"/>
    <col min="36" max="36" width="59" style="9" customWidth="1"/>
    <col min="37" max="37" width="9.85546875" style="9" customWidth="1"/>
    <col min="38" max="38" width="12.85546875" style="9" customWidth="1"/>
    <col min="39" max="39" width="13.140625" style="9" customWidth="1"/>
    <col min="40" max="40" width="57.7109375" style="9" customWidth="1"/>
    <col min="41" max="41" width="15.140625" style="9" customWidth="1"/>
    <col min="42" max="42" width="47.42578125" style="9" customWidth="1"/>
    <col min="43" max="43" width="16" style="115" customWidth="1"/>
    <col min="44" max="44" width="20.7109375" style="9" customWidth="1"/>
    <col min="45" max="45" width="18.28515625" style="9" customWidth="1"/>
    <col min="46" max="46" width="57.140625" style="9" customWidth="1"/>
    <col min="47" max="47" width="16.42578125" style="9" customWidth="1"/>
    <col min="48" max="48" width="34.7109375" style="9" customWidth="1"/>
    <col min="49" max="49" width="2.42578125" style="9" customWidth="1"/>
    <col min="50" max="52" width="11.42578125" style="9" customWidth="1"/>
    <col min="53" max="16384" width="11.42578125" style="9"/>
  </cols>
  <sheetData>
    <row r="1" spans="1:53" ht="21" customHeight="1" x14ac:dyDescent="0.2">
      <c r="A1" s="154"/>
      <c r="B1" s="154"/>
      <c r="C1" s="155" t="s">
        <v>0</v>
      </c>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7"/>
      <c r="AU1" s="38" t="s">
        <v>1</v>
      </c>
      <c r="AV1" s="36" t="s">
        <v>2</v>
      </c>
      <c r="AW1" s="21"/>
      <c r="AX1" s="10"/>
      <c r="AY1" s="10"/>
      <c r="AZ1" s="10"/>
      <c r="BA1" s="10"/>
    </row>
    <row r="2" spans="1:53" ht="21" customHeight="1" x14ac:dyDescent="0.2">
      <c r="A2" s="154"/>
      <c r="B2" s="154"/>
      <c r="C2" s="158"/>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60"/>
      <c r="AU2" s="38" t="s">
        <v>3</v>
      </c>
      <c r="AV2" s="36">
        <v>4</v>
      </c>
      <c r="AW2" s="21"/>
      <c r="AX2" s="10"/>
      <c r="AY2" s="10"/>
      <c r="AZ2" s="10"/>
      <c r="BA2" s="10"/>
    </row>
    <row r="3" spans="1:53" ht="21" customHeight="1" x14ac:dyDescent="0.2">
      <c r="A3" s="154"/>
      <c r="B3" s="154"/>
      <c r="C3" s="158"/>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60"/>
      <c r="AU3" s="38" t="s">
        <v>4</v>
      </c>
      <c r="AV3" s="36" t="s">
        <v>5</v>
      </c>
      <c r="AW3" s="21"/>
      <c r="AX3" s="10"/>
      <c r="AY3" s="10"/>
      <c r="AZ3" s="10"/>
      <c r="BA3" s="10"/>
    </row>
    <row r="4" spans="1:53" ht="21" customHeight="1" x14ac:dyDescent="0.2">
      <c r="A4" s="154"/>
      <c r="B4" s="154"/>
      <c r="C4" s="161"/>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3"/>
      <c r="AU4" s="38" t="s">
        <v>6</v>
      </c>
      <c r="AV4" s="36" t="s">
        <v>7</v>
      </c>
      <c r="AW4" s="21"/>
      <c r="AX4" s="10"/>
      <c r="AY4" s="10"/>
      <c r="AZ4" s="10"/>
      <c r="BA4" s="10"/>
    </row>
    <row r="5" spans="1:53" x14ac:dyDescent="0.2">
      <c r="A5" s="165"/>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82" t="s">
        <v>8</v>
      </c>
      <c r="AW5" s="21"/>
      <c r="AX5" s="10"/>
      <c r="AY5" s="10"/>
      <c r="AZ5" s="10"/>
      <c r="BA5" s="10"/>
    </row>
    <row r="6" spans="1:53" x14ac:dyDescent="0.2">
      <c r="A6" s="169" t="s">
        <v>9</v>
      </c>
      <c r="B6" s="169"/>
      <c r="C6" s="18" t="s">
        <v>10</v>
      </c>
      <c r="D6" s="17"/>
      <c r="E6" s="17"/>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11">
        <f>((39+239+15)/90)*0.9</f>
        <v>2.93</v>
      </c>
      <c r="AN6" s="14"/>
      <c r="AO6" s="14"/>
      <c r="AP6" s="14"/>
      <c r="AQ6" s="14"/>
      <c r="AR6" s="14"/>
      <c r="AS6" s="14"/>
      <c r="AT6" s="14"/>
      <c r="AU6" s="14"/>
      <c r="AV6" s="14"/>
      <c r="AW6" s="21"/>
      <c r="AX6" s="10"/>
      <c r="AY6" s="10"/>
      <c r="AZ6" s="10"/>
      <c r="BA6" s="10"/>
    </row>
    <row r="7" spans="1:53" x14ac:dyDescent="0.2">
      <c r="A7" s="8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21"/>
      <c r="AX7" s="10"/>
      <c r="AY7" s="10"/>
      <c r="AZ7" s="10"/>
      <c r="BA7" s="10"/>
    </row>
    <row r="8" spans="1:53" ht="26.25" customHeight="1" x14ac:dyDescent="0.2">
      <c r="A8" s="166" t="s">
        <v>11</v>
      </c>
      <c r="B8" s="167"/>
      <c r="C8" s="167"/>
      <c r="D8" s="167"/>
      <c r="E8" s="167"/>
      <c r="F8" s="167"/>
      <c r="G8" s="167"/>
      <c r="H8" s="167"/>
      <c r="I8" s="167"/>
      <c r="J8" s="167"/>
      <c r="K8" s="167"/>
      <c r="L8" s="168"/>
      <c r="M8" s="143" t="s">
        <v>12</v>
      </c>
      <c r="N8" s="144"/>
      <c r="O8" s="144"/>
      <c r="P8" s="144"/>
      <c r="Q8" s="144"/>
      <c r="R8" s="144"/>
      <c r="S8" s="144"/>
      <c r="T8" s="144"/>
      <c r="U8" s="144"/>
      <c r="V8" s="144"/>
      <c r="W8" s="144"/>
      <c r="X8" s="144"/>
      <c r="Y8" s="145"/>
      <c r="Z8" s="152" t="s">
        <v>13</v>
      </c>
      <c r="AA8" s="152"/>
      <c r="AB8" s="152"/>
      <c r="AC8" s="152"/>
      <c r="AD8" s="152"/>
      <c r="AE8" s="152"/>
      <c r="AF8" s="152"/>
      <c r="AG8" s="152"/>
      <c r="AH8" s="152"/>
      <c r="AI8" s="152"/>
      <c r="AJ8" s="152"/>
      <c r="AK8" s="152"/>
      <c r="AL8" s="152"/>
      <c r="AM8" s="152"/>
      <c r="AN8" s="152"/>
      <c r="AO8" s="152"/>
      <c r="AP8" s="152"/>
      <c r="AQ8" s="152"/>
      <c r="AR8" s="152"/>
      <c r="AS8" s="152"/>
      <c r="AT8" s="152"/>
      <c r="AU8" s="152"/>
      <c r="AV8" s="152"/>
      <c r="AW8" s="95"/>
      <c r="AX8" s="96"/>
      <c r="AY8" s="96"/>
      <c r="AZ8" s="96"/>
      <c r="BA8" s="96"/>
    </row>
    <row r="9" spans="1:53" s="11" customFormat="1" ht="46.5" customHeight="1" x14ac:dyDescent="0.2">
      <c r="A9" s="153" t="s">
        <v>14</v>
      </c>
      <c r="B9" s="153" t="s">
        <v>15</v>
      </c>
      <c r="C9" s="153" t="s">
        <v>16</v>
      </c>
      <c r="D9" s="153" t="s">
        <v>17</v>
      </c>
      <c r="E9" s="153" t="s">
        <v>18</v>
      </c>
      <c r="F9" s="153" t="s">
        <v>19</v>
      </c>
      <c r="G9" s="136" t="s">
        <v>20</v>
      </c>
      <c r="H9" s="136" t="s">
        <v>21</v>
      </c>
      <c r="I9" s="151" t="s">
        <v>22</v>
      </c>
      <c r="J9" s="141" t="s">
        <v>23</v>
      </c>
      <c r="K9" s="142"/>
      <c r="L9" s="142"/>
      <c r="M9" s="149" t="s">
        <v>24</v>
      </c>
      <c r="N9" s="149" t="s">
        <v>25</v>
      </c>
      <c r="O9" s="149" t="s">
        <v>26</v>
      </c>
      <c r="P9" s="164" t="s">
        <v>27</v>
      </c>
      <c r="Q9" s="164"/>
      <c r="R9" s="164"/>
      <c r="S9" s="150" t="s">
        <v>28</v>
      </c>
      <c r="T9" s="146" t="s">
        <v>29</v>
      </c>
      <c r="U9" s="147"/>
      <c r="V9" s="147"/>
      <c r="W9" s="147"/>
      <c r="X9" s="147"/>
      <c r="Y9" s="148"/>
      <c r="Z9" s="138" t="s">
        <v>30</v>
      </c>
      <c r="AA9" s="139"/>
      <c r="AB9" s="139"/>
      <c r="AC9" s="139"/>
      <c r="AD9" s="140"/>
      <c r="AE9" s="138" t="s">
        <v>31</v>
      </c>
      <c r="AF9" s="139"/>
      <c r="AG9" s="139"/>
      <c r="AH9" s="139"/>
      <c r="AI9" s="139"/>
      <c r="AJ9" s="140"/>
      <c r="AK9" s="138" t="s">
        <v>32</v>
      </c>
      <c r="AL9" s="139"/>
      <c r="AM9" s="139"/>
      <c r="AN9" s="139"/>
      <c r="AO9" s="139"/>
      <c r="AP9" s="140"/>
      <c r="AQ9" s="138" t="s">
        <v>33</v>
      </c>
      <c r="AR9" s="139"/>
      <c r="AS9" s="139"/>
      <c r="AT9" s="139"/>
      <c r="AU9" s="139"/>
      <c r="AV9" s="140"/>
      <c r="AW9" s="97"/>
      <c r="AX9" s="98"/>
      <c r="AY9" s="98"/>
      <c r="AZ9" s="98"/>
      <c r="BA9" s="98"/>
    </row>
    <row r="10" spans="1:53" ht="46.5" customHeight="1" x14ac:dyDescent="0.2">
      <c r="A10" s="136"/>
      <c r="B10" s="136"/>
      <c r="C10" s="136"/>
      <c r="D10" s="136"/>
      <c r="E10" s="136"/>
      <c r="F10" s="136"/>
      <c r="G10" s="137"/>
      <c r="H10" s="137"/>
      <c r="I10" s="149"/>
      <c r="J10" s="19" t="s">
        <v>34</v>
      </c>
      <c r="K10" s="19" t="s">
        <v>35</v>
      </c>
      <c r="L10" s="19" t="s">
        <v>36</v>
      </c>
      <c r="M10" s="149"/>
      <c r="N10" s="149"/>
      <c r="O10" s="149"/>
      <c r="P10" s="19" t="s">
        <v>34</v>
      </c>
      <c r="Q10" s="19" t="s">
        <v>35</v>
      </c>
      <c r="R10" s="19" t="s">
        <v>36</v>
      </c>
      <c r="S10" s="151"/>
      <c r="T10" s="19" t="s">
        <v>37</v>
      </c>
      <c r="U10" s="19" t="s">
        <v>38</v>
      </c>
      <c r="V10" s="19" t="s">
        <v>39</v>
      </c>
      <c r="W10" s="8" t="s">
        <v>40</v>
      </c>
      <c r="X10" s="19" t="s">
        <v>41</v>
      </c>
      <c r="Y10" s="19" t="s">
        <v>42</v>
      </c>
      <c r="Z10" s="1" t="s">
        <v>43</v>
      </c>
      <c r="AA10" s="1" t="s">
        <v>44</v>
      </c>
      <c r="AB10" s="1" t="s">
        <v>45</v>
      </c>
      <c r="AC10" s="1" t="s">
        <v>46</v>
      </c>
      <c r="AD10" s="13" t="s">
        <v>47</v>
      </c>
      <c r="AE10" s="1" t="s">
        <v>43</v>
      </c>
      <c r="AF10" s="1" t="s">
        <v>44</v>
      </c>
      <c r="AG10" s="1" t="s">
        <v>48</v>
      </c>
      <c r="AH10" s="1" t="s">
        <v>45</v>
      </c>
      <c r="AI10" s="1" t="s">
        <v>46</v>
      </c>
      <c r="AJ10" s="13" t="s">
        <v>47</v>
      </c>
      <c r="AK10" s="1" t="s">
        <v>43</v>
      </c>
      <c r="AL10" s="1" t="s">
        <v>44</v>
      </c>
      <c r="AM10" s="1" t="s">
        <v>48</v>
      </c>
      <c r="AN10" s="1" t="s">
        <v>45</v>
      </c>
      <c r="AO10" s="1" t="s">
        <v>46</v>
      </c>
      <c r="AP10" s="13" t="s">
        <v>47</v>
      </c>
      <c r="AQ10" s="1" t="s">
        <v>43</v>
      </c>
      <c r="AR10" s="1" t="s">
        <v>44</v>
      </c>
      <c r="AS10" s="1" t="s">
        <v>48</v>
      </c>
      <c r="AT10" s="1" t="s">
        <v>45</v>
      </c>
      <c r="AU10" s="1" t="s">
        <v>46</v>
      </c>
      <c r="AV10" s="13" t="s">
        <v>47</v>
      </c>
      <c r="AW10" s="96"/>
      <c r="AX10" s="96"/>
      <c r="AY10" s="96"/>
      <c r="AZ10" s="96"/>
      <c r="BA10" s="96"/>
    </row>
    <row r="11" spans="1:53" s="12" customFormat="1" ht="276" customHeight="1" x14ac:dyDescent="0.2">
      <c r="A11" s="118" t="s">
        <v>106</v>
      </c>
      <c r="B11" s="127" t="s">
        <v>49</v>
      </c>
      <c r="C11" s="130" t="s">
        <v>50</v>
      </c>
      <c r="D11" s="118" t="s">
        <v>51</v>
      </c>
      <c r="E11" s="132" t="s">
        <v>52</v>
      </c>
      <c r="F11" s="85" t="s">
        <v>53</v>
      </c>
      <c r="G11" s="130" t="s">
        <v>54</v>
      </c>
      <c r="H11" s="118" t="s">
        <v>55</v>
      </c>
      <c r="I11" s="134" t="s">
        <v>56</v>
      </c>
      <c r="J11" s="118" t="s">
        <v>57</v>
      </c>
      <c r="K11" s="118" t="s">
        <v>58</v>
      </c>
      <c r="L11" s="124" t="str">
        <f>VLOOKUP(J11,Anexos!$B$37:$G$43,(HLOOKUP(K11,Anexos!$C$37:$G$38,2,0)),0)</f>
        <v>Moderado</v>
      </c>
      <c r="M11" s="91" t="s">
        <v>59</v>
      </c>
      <c r="N11" s="86" t="s">
        <v>60</v>
      </c>
      <c r="O11" s="86" t="s">
        <v>61</v>
      </c>
      <c r="P11" s="120" t="s">
        <v>62</v>
      </c>
      <c r="Q11" s="120" t="s">
        <v>58</v>
      </c>
      <c r="R11" s="124" t="str">
        <f>VLOOKUP(P11,Anexos!$B$37:$G$43,(HLOOKUP(Q11,Anexos!$C$37:$G$38,2,0)),0)</f>
        <v>Moderado</v>
      </c>
      <c r="S11" s="122" t="s">
        <v>63</v>
      </c>
      <c r="T11" s="91" t="str">
        <f>+M11</f>
        <v>1. Mensualmente, el equipo de apoyo logístico asignado por el (la) Subdirector(a) Administrativo(a) y Financiero(a) es el responsable de planificar y gestionar visitas en sitio a las diferentes unidades operativas de la Entidad, con el fin de verificar la adecuada administración de los bienes y prestación de los servicios de apoyo, identificar necesidades y otras novedades.
Como evidencia se encuentra herramienta Microsoft forms, con las listas de chequeo diligenciadas en el proceso de verificación.</v>
      </c>
      <c r="U11" s="92" t="s">
        <v>64</v>
      </c>
      <c r="V11" s="92" t="s">
        <v>65</v>
      </c>
      <c r="W11" s="104">
        <v>0.9</v>
      </c>
      <c r="X11" s="105">
        <v>45658</v>
      </c>
      <c r="Y11" s="105">
        <v>46022</v>
      </c>
      <c r="Z11" s="106">
        <v>45751</v>
      </c>
      <c r="AA11" s="107">
        <f>(39/30)/0.9</f>
        <v>1.4444444444444444</v>
      </c>
      <c r="AB11" s="91" t="s">
        <v>262</v>
      </c>
      <c r="AC11" s="120" t="s">
        <v>66</v>
      </c>
      <c r="AD11" s="91" t="s">
        <v>67</v>
      </c>
      <c r="AE11" s="108">
        <v>45842</v>
      </c>
      <c r="AF11" s="107">
        <f>(239/30)/0.9</f>
        <v>8.8518518518518512</v>
      </c>
      <c r="AG11" s="107">
        <f>((39+239)/60)/0.9</f>
        <v>5.1481481481481488</v>
      </c>
      <c r="AH11" s="112" t="s">
        <v>68</v>
      </c>
      <c r="AI11" s="120" t="s">
        <v>66</v>
      </c>
      <c r="AJ11" s="91" t="s">
        <v>69</v>
      </c>
      <c r="AK11" s="108">
        <v>45938</v>
      </c>
      <c r="AL11" s="107">
        <f>+(0.5)/0.9</f>
        <v>0.55555555555555558</v>
      </c>
      <c r="AM11" s="107">
        <f>((39+239+15)/90)/0.9</f>
        <v>3.617283950617284</v>
      </c>
      <c r="AN11" s="110" t="s">
        <v>70</v>
      </c>
      <c r="AO11" s="116" t="s">
        <v>66</v>
      </c>
      <c r="AP11" s="85" t="s">
        <v>71</v>
      </c>
      <c r="AQ11" s="113">
        <v>46030</v>
      </c>
      <c r="AR11" s="109">
        <f>(19/30)/0.9</f>
        <v>0.70370370370370361</v>
      </c>
      <c r="AS11" s="109">
        <f>((39+239+15+19)/120)/0.9</f>
        <v>2.8888888888888888</v>
      </c>
      <c r="AT11" s="110" t="s">
        <v>269</v>
      </c>
      <c r="AU11" s="116" t="s">
        <v>66</v>
      </c>
      <c r="AV11" s="110" t="s">
        <v>264</v>
      </c>
    </row>
    <row r="12" spans="1:53" s="12" customFormat="1" ht="211.15" customHeight="1" x14ac:dyDescent="0.2">
      <c r="A12" s="126"/>
      <c r="B12" s="128"/>
      <c r="C12" s="131"/>
      <c r="D12" s="119"/>
      <c r="E12" s="133"/>
      <c r="F12" s="85" t="s">
        <v>72</v>
      </c>
      <c r="G12" s="131"/>
      <c r="H12" s="119"/>
      <c r="I12" s="135"/>
      <c r="J12" s="119"/>
      <c r="K12" s="119"/>
      <c r="L12" s="125"/>
      <c r="M12" s="91" t="s">
        <v>73</v>
      </c>
      <c r="N12" s="86" t="s">
        <v>60</v>
      </c>
      <c r="O12" s="86" t="s">
        <v>61</v>
      </c>
      <c r="P12" s="121"/>
      <c r="Q12" s="121"/>
      <c r="R12" s="125"/>
      <c r="S12" s="123"/>
      <c r="T12" s="91" t="str">
        <f>+M12</f>
        <v>2.  Mensualmente el equipo de inventarios asignado por el Subdirector(a) Administrativo(a) y Financiero(a) es el responsable de planificar y gestionar las pruebas representativas o toma física de inventarios, de los bienes, muebles y equipos que se encuentran bajo la custodia y responsabilidad de los funcionarios  y contratistas de la Secretaria Distrital de Integración Social, de acuerdo a las solicitudes allegadas con el  objetivo de administrar y controlar los bienes de inventarios de toda la Entidad.
Como evidencia se cuentan con los Formato Prueba representativa de inventario de bienes (FOR-GL-044) y/o Formato Planilla física toma de inventario (FOR-GL-002), diligenciados en el periodo.</v>
      </c>
      <c r="U12" s="86" t="s">
        <v>74</v>
      </c>
      <c r="V12" s="86" t="s">
        <v>75</v>
      </c>
      <c r="W12" s="104">
        <v>1</v>
      </c>
      <c r="X12" s="105">
        <v>45658</v>
      </c>
      <c r="Y12" s="105">
        <v>46022</v>
      </c>
      <c r="Z12" s="106">
        <v>45751</v>
      </c>
      <c r="AA12" s="107">
        <v>1</v>
      </c>
      <c r="AB12" s="91" t="s">
        <v>76</v>
      </c>
      <c r="AC12" s="121"/>
      <c r="AD12" s="91" t="s">
        <v>77</v>
      </c>
      <c r="AE12" s="108">
        <v>45842</v>
      </c>
      <c r="AF12" s="107">
        <v>1</v>
      </c>
      <c r="AG12" s="107">
        <v>1</v>
      </c>
      <c r="AH12" s="91" t="s">
        <v>265</v>
      </c>
      <c r="AI12" s="121"/>
      <c r="AJ12" s="91" t="s">
        <v>78</v>
      </c>
      <c r="AK12" s="108">
        <v>45938</v>
      </c>
      <c r="AL12" s="107">
        <v>1</v>
      </c>
      <c r="AM12" s="107">
        <v>1</v>
      </c>
      <c r="AN12" s="110" t="s">
        <v>79</v>
      </c>
      <c r="AO12" s="117"/>
      <c r="AP12" s="110" t="s">
        <v>80</v>
      </c>
      <c r="AQ12" s="113">
        <v>46030</v>
      </c>
      <c r="AR12" s="109">
        <v>1</v>
      </c>
      <c r="AS12" s="109">
        <v>1</v>
      </c>
      <c r="AT12" s="110" t="s">
        <v>263</v>
      </c>
      <c r="AU12" s="117" t="s">
        <v>66</v>
      </c>
      <c r="AV12" s="110" t="s">
        <v>266</v>
      </c>
    </row>
    <row r="13" spans="1:53" s="12" customFormat="1" ht="307.5" customHeight="1" x14ac:dyDescent="0.2">
      <c r="A13" s="126"/>
      <c r="B13" s="128"/>
      <c r="C13" s="130" t="s">
        <v>81</v>
      </c>
      <c r="D13" s="118" t="s">
        <v>51</v>
      </c>
      <c r="E13" s="132" t="s">
        <v>82</v>
      </c>
      <c r="F13" s="127" t="s">
        <v>83</v>
      </c>
      <c r="G13" s="130" t="s">
        <v>84</v>
      </c>
      <c r="H13" s="118" t="s">
        <v>55</v>
      </c>
      <c r="I13" s="134" t="s">
        <v>56</v>
      </c>
      <c r="J13" s="118" t="s">
        <v>57</v>
      </c>
      <c r="K13" s="118" t="s">
        <v>85</v>
      </c>
      <c r="L13" s="124" t="str">
        <f>VLOOKUP(J13,Anexos!$B$37:$G$43,(HLOOKUP(K13,Anexos!$C$37:$G$38,2,0)),0)</f>
        <v>Moderado</v>
      </c>
      <c r="M13" s="91" t="s">
        <v>86</v>
      </c>
      <c r="N13" s="86" t="s">
        <v>60</v>
      </c>
      <c r="O13" s="86" t="s">
        <v>61</v>
      </c>
      <c r="P13" s="120" t="s">
        <v>62</v>
      </c>
      <c r="Q13" s="120" t="s">
        <v>85</v>
      </c>
      <c r="R13" s="124" t="str">
        <f>VLOOKUP(P13,Anexos!$B$37:$G$43,(HLOOKUP(Q13,Anexos!$C$37:$G$38,2,0)),0)</f>
        <v>Moderado</v>
      </c>
      <c r="S13" s="122" t="s">
        <v>63</v>
      </c>
      <c r="T13" s="91" t="str">
        <f>+M13</f>
        <v>1. Semestralmente el funcionario(a) o contratista asignado(a) por el Subdirector(a) Administrativo(a) y Financiero(a) realiza seguimiento a la gestión y el estado de los procesos de contratación de servicios de apoyo logístico, de acuerdo con el Plan Anual de Adquisiciones, generando las alertas tempranas al equipo de apoyo logístico, para garantizar la oportuna contratación de los servicios de apoyo.
Como evidencia, se encuentra el archivo en formato Excel con el estado actual de los procesos de contratación y las alertas tempranas generadas.</v>
      </c>
      <c r="U13" s="92" t="s">
        <v>74</v>
      </c>
      <c r="V13" s="92" t="s">
        <v>87</v>
      </c>
      <c r="W13" s="104">
        <v>1</v>
      </c>
      <c r="X13" s="105">
        <v>45658</v>
      </c>
      <c r="Y13" s="105">
        <v>46022</v>
      </c>
      <c r="Z13" s="106">
        <v>45751</v>
      </c>
      <c r="AA13" s="107">
        <f>3/20</f>
        <v>0.15</v>
      </c>
      <c r="AB13" s="91" t="s">
        <v>88</v>
      </c>
      <c r="AC13" s="120" t="s">
        <v>66</v>
      </c>
      <c r="AD13" s="91" t="s">
        <v>89</v>
      </c>
      <c r="AE13" s="108">
        <v>45842</v>
      </c>
      <c r="AF13" s="107">
        <f>17/20</f>
        <v>0.85</v>
      </c>
      <c r="AG13" s="107">
        <f>20/26</f>
        <v>0.76923076923076927</v>
      </c>
      <c r="AH13" s="85" t="s">
        <v>90</v>
      </c>
      <c r="AI13" s="118" t="s">
        <v>66</v>
      </c>
      <c r="AJ13" s="85" t="s">
        <v>91</v>
      </c>
      <c r="AK13" s="99">
        <v>45938</v>
      </c>
      <c r="AL13" s="109">
        <f>2/6</f>
        <v>0.33333333333333331</v>
      </c>
      <c r="AM13" s="109">
        <f>22/26</f>
        <v>0.84615384615384615</v>
      </c>
      <c r="AN13" s="85" t="s">
        <v>92</v>
      </c>
      <c r="AO13" s="118" t="s">
        <v>66</v>
      </c>
      <c r="AP13" s="85" t="s">
        <v>93</v>
      </c>
      <c r="AQ13" s="113">
        <v>46030</v>
      </c>
      <c r="AR13" s="109">
        <f>4/6</f>
        <v>0.66666666666666663</v>
      </c>
      <c r="AS13" s="109">
        <f>26/26</f>
        <v>1</v>
      </c>
      <c r="AT13" s="85" t="s">
        <v>270</v>
      </c>
      <c r="AU13" s="116" t="s">
        <v>66</v>
      </c>
      <c r="AV13" s="110" t="s">
        <v>267</v>
      </c>
    </row>
    <row r="14" spans="1:53" s="12" customFormat="1" ht="267.60000000000002" customHeight="1" x14ac:dyDescent="0.2">
      <c r="A14" s="119"/>
      <c r="B14" s="129"/>
      <c r="C14" s="131"/>
      <c r="D14" s="119"/>
      <c r="E14" s="133"/>
      <c r="F14" s="129"/>
      <c r="G14" s="131"/>
      <c r="H14" s="119"/>
      <c r="I14" s="135"/>
      <c r="J14" s="119"/>
      <c r="K14" s="119"/>
      <c r="L14" s="125"/>
      <c r="M14" s="85" t="s">
        <v>94</v>
      </c>
      <c r="N14" s="86" t="s">
        <v>60</v>
      </c>
      <c r="O14" s="86" t="s">
        <v>61</v>
      </c>
      <c r="P14" s="121"/>
      <c r="Q14" s="121"/>
      <c r="R14" s="125"/>
      <c r="S14" s="123"/>
      <c r="T14" s="91" t="str">
        <f>+M14</f>
        <v>2. Mensualmente el funcionario(a) o contratista delegado(a) por el Subdirector(a) Administrativo(a) y Financiero(a) solicita a la Subdirección de Plantas Físicas y Dirección de Análisis y Diseño Estratégico la base de datos actualizada con los predios que se encuentran bajo responsabilidad de las SDIS, adicionalmente, la Subdirección de Plantas Física realiza entrega de  las actas que contienen información de los predios que entran en funcionamiento y así mismo de los que dejan de funcionar (inclusión y exclusión de predios), con el propósito de actualizar oportunamente las bases de datos y realizar el pago masivo de los servicios públicos, para así prevenir el pago extemporáneo, la suspensión y sobrecostos  de los mismos.
Como evidencia se cuenta con las bases de datos de servicios públicos actualizadas, las  inclusiones y exclusiones presentadas en el periodo o correos electrónicos.</v>
      </c>
      <c r="U14" s="92" t="s">
        <v>74</v>
      </c>
      <c r="V14" s="92" t="s">
        <v>95</v>
      </c>
      <c r="W14" s="104">
        <v>1</v>
      </c>
      <c r="X14" s="105">
        <v>45717</v>
      </c>
      <c r="Y14" s="105">
        <v>46022</v>
      </c>
      <c r="Z14" s="106">
        <v>45751</v>
      </c>
      <c r="AA14" s="107">
        <v>0.1</v>
      </c>
      <c r="AB14" s="91" t="s">
        <v>96</v>
      </c>
      <c r="AC14" s="121"/>
      <c r="AD14" s="91" t="s">
        <v>97</v>
      </c>
      <c r="AE14" s="108">
        <v>45842</v>
      </c>
      <c r="AF14" s="107">
        <v>0.3</v>
      </c>
      <c r="AG14" s="107">
        <v>0.4</v>
      </c>
      <c r="AH14" s="85" t="s">
        <v>98</v>
      </c>
      <c r="AI14" s="119"/>
      <c r="AJ14" s="85" t="s">
        <v>99</v>
      </c>
      <c r="AK14" s="99">
        <v>45938</v>
      </c>
      <c r="AL14" s="109">
        <v>0.3</v>
      </c>
      <c r="AM14" s="109">
        <v>0.7</v>
      </c>
      <c r="AN14" s="85" t="s">
        <v>100</v>
      </c>
      <c r="AO14" s="119"/>
      <c r="AP14" s="85" t="s">
        <v>101</v>
      </c>
      <c r="AQ14" s="113">
        <v>46030</v>
      </c>
      <c r="AR14" s="109">
        <v>0.3</v>
      </c>
      <c r="AS14" s="109">
        <v>1</v>
      </c>
      <c r="AT14" s="91" t="s">
        <v>268</v>
      </c>
      <c r="AU14" s="117" t="s">
        <v>66</v>
      </c>
      <c r="AV14" s="110" t="s">
        <v>267</v>
      </c>
    </row>
    <row r="15" spans="1:53" x14ac:dyDescent="0.2">
      <c r="A15" s="96"/>
      <c r="B15" s="96"/>
      <c r="C15" s="96"/>
      <c r="D15" s="96"/>
      <c r="E15" s="96"/>
      <c r="F15" s="12"/>
      <c r="G15" s="12"/>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114"/>
      <c r="AR15" s="96"/>
      <c r="AS15" s="96"/>
      <c r="AT15" s="96"/>
      <c r="AU15" s="96"/>
      <c r="AV15" s="96"/>
      <c r="AW15" s="96"/>
      <c r="AX15" s="96"/>
      <c r="AY15" s="96"/>
      <c r="AZ15" s="96"/>
      <c r="BA15" s="96"/>
    </row>
  </sheetData>
  <sheetProtection formatCells="0" formatColumns="0" formatRows="0" insertColumns="0" insertRows="0" insertHyperlinks="0" deleteColumns="0" deleteRows="0" sort="0" autoFilter="0" pivotTables="0"/>
  <mergeCells count="64">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K9:AP9"/>
    <mergeCell ref="AQ9:AV9"/>
    <mergeCell ref="S9:S10"/>
    <mergeCell ref="O9:O10"/>
    <mergeCell ref="Z8:AV8"/>
    <mergeCell ref="H9:H10"/>
    <mergeCell ref="Z9:AD9"/>
    <mergeCell ref="J9:L9"/>
    <mergeCell ref="M8:Y8"/>
    <mergeCell ref="T9:Y9"/>
    <mergeCell ref="M9:M10"/>
    <mergeCell ref="K11:K12"/>
    <mergeCell ref="L11:L12"/>
    <mergeCell ref="H13:H14"/>
    <mergeCell ref="I13:I14"/>
    <mergeCell ref="J13:J14"/>
    <mergeCell ref="K13:K14"/>
    <mergeCell ref="L13:L14"/>
    <mergeCell ref="H11:H12"/>
    <mergeCell ref="I11:I12"/>
    <mergeCell ref="A11:A14"/>
    <mergeCell ref="B11:B14"/>
    <mergeCell ref="C13:C14"/>
    <mergeCell ref="F13:F14"/>
    <mergeCell ref="J11:J12"/>
    <mergeCell ref="G11:G12"/>
    <mergeCell ref="G13:G14"/>
    <mergeCell ref="E11:E12"/>
    <mergeCell ref="D11:D12"/>
    <mergeCell ref="E13:E14"/>
    <mergeCell ref="D13:D14"/>
    <mergeCell ref="C11:C12"/>
    <mergeCell ref="AC11:AC12"/>
    <mergeCell ref="AC13:AC14"/>
    <mergeCell ref="S11:S12"/>
    <mergeCell ref="P13:P14"/>
    <mergeCell ref="Q13:Q14"/>
    <mergeCell ref="R13:R14"/>
    <mergeCell ref="S13:S14"/>
    <mergeCell ref="P11:P12"/>
    <mergeCell ref="Q11:Q12"/>
    <mergeCell ref="R11:R12"/>
    <mergeCell ref="AU11:AU12"/>
    <mergeCell ref="AU13:AU14"/>
    <mergeCell ref="AO11:AO12"/>
    <mergeCell ref="AO13:AO14"/>
    <mergeCell ref="AI11:AI12"/>
    <mergeCell ref="AI13:AI14"/>
  </mergeCells>
  <phoneticPr fontId="4" type="noConversion"/>
  <conditionalFormatting sqref="L11">
    <cfRule type="containsText" dxfId="12" priority="15" operator="containsText" text="Bajo">
      <formula>NOT(ISERROR(SEARCH("Bajo",L11)))</formula>
    </cfRule>
    <cfRule type="containsText" dxfId="11" priority="16" operator="containsText" text="Moderado">
      <formula>NOT(ISERROR(SEARCH("Moderado",L11)))</formula>
    </cfRule>
    <cfRule type="containsText" dxfId="10" priority="17" operator="containsText" text="Alto">
      <formula>NOT(ISERROR(SEARCH("Alto",L11)))</formula>
    </cfRule>
    <cfRule type="containsText" dxfId="9" priority="18" operator="containsText" text="Extremo">
      <formula>NOT(ISERROR(SEARCH("Extremo",L11)))</formula>
    </cfRule>
  </conditionalFormatting>
  <conditionalFormatting sqref="L13">
    <cfRule type="containsText" dxfId="8" priority="1" operator="containsText" text="Bajo">
      <formula>NOT(ISERROR(SEARCH("Bajo",L13)))</formula>
    </cfRule>
    <cfRule type="containsText" dxfId="7" priority="2" operator="containsText" text="Moderado">
      <formula>NOT(ISERROR(SEARCH("Moderado",L13)))</formula>
    </cfRule>
    <cfRule type="containsText" dxfId="6" priority="3" operator="containsText" text="Alto">
      <formula>NOT(ISERROR(SEARCH("Alto",L13)))</formula>
    </cfRule>
    <cfRule type="containsText" dxfId="5" priority="4" operator="containsText" text="Extremo">
      <formula>NOT(ISERROR(SEARCH("Extremo",L13)))</formula>
    </cfRule>
  </conditionalFormatting>
  <conditionalFormatting sqref="R11 R13">
    <cfRule type="containsText" dxfId="4" priority="5" operator="containsText" text="Bajo">
      <formula>NOT(ISERROR(SEARCH("Bajo",R11)))</formula>
    </cfRule>
    <cfRule type="containsText" dxfId="3" priority="6" operator="containsText" text="Moderado">
      <formula>NOT(ISERROR(SEARCH("Moderado",R11)))</formula>
    </cfRule>
    <cfRule type="containsText" dxfId="2" priority="7" operator="containsText" text="Alto">
      <formula>NOT(ISERROR(SEARCH("Alto",R11)))</formula>
    </cfRule>
    <cfRule type="containsText" dxfId="1" priority="8" operator="containsText" text="Extremo">
      <formula>NOT(ISERROR(SEARCH("Extremo",R11)))</formula>
    </cfRule>
  </conditionalFormatting>
  <dataValidations xWindow="51" yWindow="420" count="32">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Title="Despues de evaluar el control," prompt="seleccione de la lista desplegable la probabilidad residual, resultante en la columna &quot;U&quot; de la hoja 2. Evaluación de controles."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En el formato DD/MM/AAAA, registre la fecha de terminación de la actividad a desarrollar. Esta fecha no podrá superar el 31 de diciembre de cada vigencia." sqref="Y10" xr:uid="{00000000-0002-0000-0000-000010000000}"/>
    <dataValidation allowBlank="1" showInputMessage="1" showErrorMessage="1" prompt="Registre la fecha de realización del monitoreo, DD/MM/AAA." sqref="AQ10 AE10 AK10 Z10" xr:uid="{00000000-0002-0000-0000-000011000000}"/>
    <dataValidation allowBlank="1" showInputMessage="1" showErrorMessage="1" prompt="En el formato DD/MM/AAAA, registre la fecha de inicio de la actividad a desarrollar, dentro de la vigencia." sqref="X10" xr:uid="{00000000-0002-0000-0000-00001200000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xr:uid="{00000000-0002-0000-0000-000013000000}"/>
    <dataValidation allowBlank="1" showInputMessage="1" showErrorMessage="1" prompt="Seleccione de la lista desplegable, la decisión tomada respecto al riesgo, teniendo en cuenta lo establecido en el Lineamiento Administración de Riesgos (LIN-SG-001)." sqref="S9:S10" xr:uid="{00000000-0002-0000-0000-000014000000}"/>
    <dataValidation allowBlank="1" showInputMessage="1" showErrorMessage="1" prompt="Describa los avances en el cumplimiento de la actividad definida y relacione las evidencias que los soportan." sqref="AB10 AH10 AN10 AT10" xr:uid="{00000000-0002-0000-0000-000015000000}"/>
    <dataValidation allowBlank="1" showInputMessage="1" showErrorMessage="1" prompt="Seleccione de la lista desplegable la categoria que corresponda." sqref="A6:B6" xr:uid="{00000000-0002-0000-0000-000016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7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8000000}"/>
    <dataValidation allowBlank="1" showInputMessage="1" showErrorMessage="1" prompt="Seleccione de la lista desplegable la forma como se ejecuta el control, dependiendo de que sea ejecutado por una persona (manual) o por un sistema (automático)." sqref="O9:O10" xr:uid="{00000000-0002-0000-0000-000019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A00000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xr:uid="{00000000-0002-0000-0000-00001B000000}"/>
    <dataValidation allowBlank="1" showInputMessage="1" showErrorMessage="1" prompt="Para diligenciar este campo, dirijase primero a la hoja &quot;2. Evaluación de controles&quot;, y realice la evaluación de cada actividad de control." sqref="P9:R9" xr:uid="{00000000-0002-0000-0000-00001C000000}"/>
    <dataValidation allowBlank="1" showInputMessage="1" showErrorMessage="1" prompt="Registre el nivel de avance en el cumplimiento de la actividad. Corresponde al resultado en términos porcentuales del indicador o criterio de avance definido." sqref="AA10 AF10 AL10 AR10" xr:uid="{00000000-0002-0000-0000-00001D000000}"/>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xr:uid="{00000000-0002-0000-0000-00001E00000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xr:uid="{00000000-0002-0000-0000-00001F000000}"/>
  </dataValidations>
  <pageMargins left="0.35433070866141736" right="0.35433070866141736" top="0.98425196850393704" bottom="0.98425196850393704" header="0" footer="0"/>
  <pageSetup scale="10" orientation="landscape" r:id="rId1"/>
  <headerFooter alignWithMargins="0"/>
  <colBreaks count="1" manualBreakCount="1">
    <brk id="28" max="35" man="1"/>
  </colBreaks>
  <ignoredErrors>
    <ignoredError sqref="T15:T16 T12:T13" unlockedFormula="1"/>
  </ignoredError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00000000-0002-0000-0000-000020000000}">
          <x14:formula1>
            <xm:f>Anexos!$I$39:$I$43</xm:f>
          </x14:formula1>
          <xm:sqref>J11 J13 P11 P13</xm:sqref>
        </x14:dataValidation>
        <x14:dataValidation type="list" allowBlank="1" showInputMessage="1" showErrorMessage="1" xr:uid="{00000000-0002-0000-0000-000021000000}">
          <x14:formula1>
            <xm:f>Anexos!$J$39:$J$43</xm:f>
          </x14:formula1>
          <xm:sqref>K11 K13 Q11 Q13</xm:sqref>
        </x14:dataValidation>
        <x14:dataValidation type="list" allowBlank="1" showInputMessage="1" showErrorMessage="1" xr:uid="{00000000-0002-0000-0000-000022000000}">
          <x14:formula1>
            <xm:f>Anexos!$I$48:$I$49</xm:f>
          </x14:formula1>
          <xm:sqref>N11:N14</xm:sqref>
        </x14:dataValidation>
        <x14:dataValidation type="list" allowBlank="1" showInputMessage="1" showErrorMessage="1" xr:uid="{00000000-0002-0000-0000-000023000000}">
          <x14:formula1>
            <xm:f>Anexos!$J$48:$J$49</xm:f>
          </x14:formula1>
          <xm:sqref>AI13 AO13 AC13 AC11 AI11 AO11 AU11:AU14</xm:sqref>
        </x14:dataValidation>
        <x14:dataValidation type="list" allowBlank="1" showInputMessage="1" showErrorMessage="1" xr:uid="{00000000-0002-0000-0000-000024000000}">
          <x14:formula1>
            <xm:f>Anexos!$I$7:$I$9</xm:f>
          </x14:formula1>
          <xm:sqref>C6</xm:sqref>
        </x14:dataValidation>
        <x14:dataValidation type="list" allowBlank="1" showInputMessage="1" showErrorMessage="1" xr:uid="{00000000-0002-0000-0000-000025000000}">
          <x14:formula1>
            <xm:f>Anexos!$I$11:$I$13</xm:f>
          </x14:formula1>
          <xm:sqref>H11 H13</xm:sqref>
        </x14:dataValidation>
        <x14:dataValidation type="list" allowBlank="1" showInputMessage="1" showErrorMessage="1" xr:uid="{00000000-0002-0000-0000-000026000000}">
          <x14:formula1>
            <xm:f>Anexos!$K$48:$K$49</xm:f>
          </x14:formula1>
          <xm:sqref>O11:O14</xm:sqref>
        </x14:dataValidation>
        <x14:dataValidation type="list" allowBlank="1" showInputMessage="1" showErrorMessage="1" xr:uid="{00000000-0002-0000-0000-000027000000}">
          <x14:formula1>
            <xm:f>Anexos!$J$52:$J$54</xm:f>
          </x14:formula1>
          <xm:sqref>S11 S13</xm:sqref>
        </x14:dataValidation>
        <x14:dataValidation type="list" allowBlank="1" showInputMessage="1" showErrorMessage="1" xr:uid="{00000000-0002-0000-0000-000028000000}">
          <x14:formula1>
            <xm:f>Anexos!$B$7:$B$18</xm:f>
          </x14:formula1>
          <xm:sqref>I11 I13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8"/>
  <sheetViews>
    <sheetView zoomScale="80" zoomScaleNormal="80" zoomScaleSheetLayoutView="70" zoomScalePageLayoutView="25" workbookViewId="0">
      <selection activeCell="A2" sqref="A2"/>
    </sheetView>
  </sheetViews>
  <sheetFormatPr baseColWidth="10" defaultColWidth="2.85546875" defaultRowHeight="12.75" x14ac:dyDescent="0.2"/>
  <cols>
    <col min="1" max="1" width="1.140625" style="39" customWidth="1"/>
    <col min="2" max="2" width="11.7109375" style="43" customWidth="1"/>
    <col min="3" max="3" width="35.28515625" style="43" customWidth="1"/>
    <col min="4" max="4" width="10.85546875" style="40" bestFit="1" customWidth="1"/>
    <col min="5" max="5" width="8.140625" style="40" customWidth="1"/>
    <col min="6" max="6" width="41.140625" style="40" customWidth="1"/>
    <col min="7" max="7" width="73.7109375" style="41" customWidth="1"/>
    <col min="8" max="8" width="14" style="42" customWidth="1"/>
    <col min="9" max="9" width="5.85546875" style="42" bestFit="1" customWidth="1"/>
    <col min="10" max="10" width="14.140625" style="41" customWidth="1"/>
    <col min="11" max="11" width="5.85546875" style="41" bestFit="1" customWidth="1"/>
    <col min="12" max="12" width="15.85546875" style="41" customWidth="1"/>
    <col min="13" max="13" width="13.28515625" style="40" bestFit="1" customWidth="1"/>
    <col min="14" max="14" width="13.7109375" style="40" customWidth="1"/>
    <col min="15" max="15" width="11.7109375" style="40" customWidth="1"/>
    <col min="16" max="16" width="11.140625" style="39" customWidth="1"/>
    <col min="17" max="17" width="15.28515625" style="39" customWidth="1"/>
    <col min="18" max="18" width="12.5703125" style="39" customWidth="1"/>
    <col min="19" max="19" width="16.7109375" style="39" customWidth="1"/>
    <col min="20" max="20" width="14.42578125" style="39" customWidth="1"/>
    <col min="21" max="21" width="14.7109375" style="39" customWidth="1"/>
    <col min="22" max="22" width="27.28515625" style="39" customWidth="1"/>
    <col min="23" max="23" width="33.28515625" style="39" customWidth="1"/>
    <col min="24" max="16384" width="2.85546875" style="39"/>
  </cols>
  <sheetData>
    <row r="1" spans="1:23" ht="5.25" customHeight="1" x14ac:dyDescent="0.2"/>
    <row r="2" spans="1:23" ht="19.5" customHeight="1" x14ac:dyDescent="0.2">
      <c r="B2" s="231"/>
      <c r="C2" s="232"/>
      <c r="D2" s="202" t="s">
        <v>0</v>
      </c>
      <c r="E2" s="203"/>
      <c r="F2" s="203"/>
      <c r="G2" s="203"/>
      <c r="H2" s="203"/>
      <c r="I2" s="203"/>
      <c r="J2" s="203"/>
      <c r="K2" s="203"/>
      <c r="L2" s="203"/>
      <c r="M2" s="203"/>
      <c r="N2" s="203"/>
      <c r="O2" s="203"/>
      <c r="P2" s="203"/>
      <c r="Q2" s="203"/>
      <c r="R2" s="203"/>
      <c r="S2" s="203"/>
      <c r="T2" s="203"/>
      <c r="U2" s="204"/>
      <c r="V2" s="77" t="s">
        <v>1</v>
      </c>
      <c r="W2" s="77" t="s">
        <v>2</v>
      </c>
    </row>
    <row r="3" spans="1:23" ht="19.5" customHeight="1" x14ac:dyDescent="0.2">
      <c r="B3" s="233"/>
      <c r="C3" s="234"/>
      <c r="D3" s="205"/>
      <c r="E3" s="206"/>
      <c r="F3" s="206"/>
      <c r="G3" s="206"/>
      <c r="H3" s="206"/>
      <c r="I3" s="206"/>
      <c r="J3" s="206"/>
      <c r="K3" s="206"/>
      <c r="L3" s="206"/>
      <c r="M3" s="206"/>
      <c r="N3" s="206"/>
      <c r="O3" s="206"/>
      <c r="P3" s="206"/>
      <c r="Q3" s="206"/>
      <c r="R3" s="206"/>
      <c r="S3" s="206"/>
      <c r="T3" s="206"/>
      <c r="U3" s="207"/>
      <c r="V3" s="77" t="s">
        <v>3</v>
      </c>
      <c r="W3" s="77">
        <v>4</v>
      </c>
    </row>
    <row r="4" spans="1:23" ht="19.5" customHeight="1" x14ac:dyDescent="0.2">
      <c r="B4" s="233"/>
      <c r="C4" s="234"/>
      <c r="D4" s="205"/>
      <c r="E4" s="206"/>
      <c r="F4" s="206"/>
      <c r="G4" s="206"/>
      <c r="H4" s="206"/>
      <c r="I4" s="206"/>
      <c r="J4" s="206"/>
      <c r="K4" s="206"/>
      <c r="L4" s="206"/>
      <c r="M4" s="206"/>
      <c r="N4" s="206"/>
      <c r="O4" s="206"/>
      <c r="P4" s="206"/>
      <c r="Q4" s="206"/>
      <c r="R4" s="206"/>
      <c r="S4" s="206"/>
      <c r="T4" s="206"/>
      <c r="U4" s="207"/>
      <c r="V4" s="77" t="s">
        <v>4</v>
      </c>
      <c r="W4" s="77" t="s">
        <v>5</v>
      </c>
    </row>
    <row r="5" spans="1:23" ht="19.5" customHeight="1" x14ac:dyDescent="0.2">
      <c r="B5" s="235"/>
      <c r="C5" s="236"/>
      <c r="D5" s="208"/>
      <c r="E5" s="209"/>
      <c r="F5" s="209"/>
      <c r="G5" s="209"/>
      <c r="H5" s="209"/>
      <c r="I5" s="209"/>
      <c r="J5" s="209"/>
      <c r="K5" s="209"/>
      <c r="L5" s="209"/>
      <c r="M5" s="209"/>
      <c r="N5" s="209"/>
      <c r="O5" s="209"/>
      <c r="P5" s="209"/>
      <c r="Q5" s="209"/>
      <c r="R5" s="209"/>
      <c r="S5" s="209"/>
      <c r="T5" s="209"/>
      <c r="U5" s="210"/>
      <c r="V5" s="77" t="s">
        <v>6</v>
      </c>
      <c r="W5" s="77" t="s">
        <v>102</v>
      </c>
    </row>
    <row r="6" spans="1:23" ht="12" customHeight="1" x14ac:dyDescent="0.2">
      <c r="B6" s="39"/>
      <c r="C6" s="39"/>
      <c r="D6" s="76"/>
      <c r="E6" s="76"/>
      <c r="F6" s="76"/>
      <c r="G6" s="76"/>
      <c r="H6" s="76"/>
      <c r="I6" s="76"/>
      <c r="J6" s="76"/>
      <c r="K6" s="76"/>
      <c r="L6" s="76"/>
      <c r="W6" s="82" t="s">
        <v>8</v>
      </c>
    </row>
    <row r="7" spans="1:23" ht="20.25" customHeight="1" x14ac:dyDescent="0.2">
      <c r="B7" s="190" t="s">
        <v>103</v>
      </c>
      <c r="C7" s="190"/>
      <c r="D7" s="190"/>
      <c r="E7" s="190"/>
      <c r="F7" s="190"/>
      <c r="G7" s="190"/>
      <c r="H7" s="190"/>
      <c r="I7" s="190"/>
      <c r="J7" s="190"/>
      <c r="K7" s="190"/>
      <c r="L7" s="190"/>
      <c r="M7" s="190"/>
      <c r="N7" s="190"/>
      <c r="O7" s="190"/>
      <c r="P7" s="190"/>
      <c r="Q7" s="190"/>
      <c r="R7" s="190"/>
      <c r="S7" s="190"/>
      <c r="T7" s="190"/>
      <c r="U7" s="190"/>
      <c r="V7" s="190"/>
      <c r="W7" s="190"/>
    </row>
    <row r="8" spans="1:23" x14ac:dyDescent="0.2">
      <c r="B8" s="70"/>
      <c r="C8" s="70"/>
      <c r="D8" s="75"/>
      <c r="E8" s="69"/>
      <c r="F8" s="69"/>
      <c r="L8" s="73"/>
    </row>
    <row r="9" spans="1:23" ht="15" customHeight="1" x14ac:dyDescent="0.2">
      <c r="A9" s="46"/>
      <c r="B9" s="191" t="s">
        <v>104</v>
      </c>
      <c r="C9" s="192"/>
      <c r="D9" s="193">
        <v>45714</v>
      </c>
      <c r="E9" s="194"/>
      <c r="F9" s="71" t="s">
        <v>105</v>
      </c>
      <c r="G9" s="221" t="s">
        <v>106</v>
      </c>
      <c r="H9" s="222"/>
      <c r="I9" s="74"/>
      <c r="J9" s="191" t="s">
        <v>107</v>
      </c>
      <c r="K9" s="191"/>
      <c r="L9" s="191"/>
      <c r="M9" s="192"/>
      <c r="N9" s="194" t="s">
        <v>108</v>
      </c>
      <c r="O9" s="194"/>
      <c r="P9" s="194"/>
      <c r="Q9" s="194"/>
      <c r="R9" s="194"/>
      <c r="T9" s="42"/>
      <c r="U9" s="42"/>
    </row>
    <row r="10" spans="1:23" x14ac:dyDescent="0.2">
      <c r="B10" s="70"/>
      <c r="C10" s="70"/>
      <c r="D10" s="69"/>
      <c r="E10" s="69"/>
      <c r="F10" s="69"/>
      <c r="L10" s="73"/>
    </row>
    <row r="11" spans="1:23" s="66" customFormat="1" ht="28.5" customHeight="1" x14ac:dyDescent="0.2">
      <c r="B11" s="212" t="s">
        <v>109</v>
      </c>
      <c r="C11" s="212" t="s">
        <v>110</v>
      </c>
      <c r="D11" s="212" t="s">
        <v>111</v>
      </c>
      <c r="E11" s="212"/>
      <c r="F11" s="213" t="s">
        <v>112</v>
      </c>
      <c r="G11" s="212" t="s">
        <v>113</v>
      </c>
      <c r="H11" s="228" t="s">
        <v>114</v>
      </c>
      <c r="I11" s="229"/>
      <c r="J11" s="229"/>
      <c r="K11" s="229"/>
      <c r="L11" s="229"/>
      <c r="M11" s="229"/>
      <c r="N11" s="229"/>
      <c r="O11" s="229"/>
      <c r="P11" s="230"/>
      <c r="Q11" s="227" t="s">
        <v>115</v>
      </c>
      <c r="R11" s="227"/>
      <c r="S11" s="227"/>
      <c r="T11" s="227"/>
      <c r="U11" s="211" t="s">
        <v>116</v>
      </c>
    </row>
    <row r="12" spans="1:23" s="66" customFormat="1" ht="21.75" customHeight="1" x14ac:dyDescent="0.2">
      <c r="B12" s="212"/>
      <c r="C12" s="212"/>
      <c r="D12" s="212"/>
      <c r="E12" s="212"/>
      <c r="F12" s="214"/>
      <c r="G12" s="212"/>
      <c r="H12" s="228" t="s">
        <v>117</v>
      </c>
      <c r="I12" s="229"/>
      <c r="J12" s="229"/>
      <c r="K12" s="230"/>
      <c r="L12" s="228" t="s">
        <v>118</v>
      </c>
      <c r="M12" s="229"/>
      <c r="N12" s="229"/>
      <c r="O12" s="229"/>
      <c r="P12" s="230"/>
      <c r="Q12" s="185" t="s">
        <v>119</v>
      </c>
      <c r="R12" s="185" t="s">
        <v>120</v>
      </c>
      <c r="S12" s="185" t="s">
        <v>121</v>
      </c>
      <c r="T12" s="216" t="s">
        <v>122</v>
      </c>
      <c r="U12" s="211" t="s">
        <v>123</v>
      </c>
    </row>
    <row r="13" spans="1:23" s="66" customFormat="1" ht="71.25" customHeight="1" x14ac:dyDescent="0.2">
      <c r="B13" s="212"/>
      <c r="C13" s="212"/>
      <c r="D13" s="67" t="s">
        <v>124</v>
      </c>
      <c r="E13" s="67" t="s">
        <v>36</v>
      </c>
      <c r="F13" s="215"/>
      <c r="G13" s="212"/>
      <c r="H13" s="67" t="s">
        <v>125</v>
      </c>
      <c r="I13" s="67" t="s">
        <v>126</v>
      </c>
      <c r="J13" s="67" t="s">
        <v>127</v>
      </c>
      <c r="K13" s="67" t="s">
        <v>126</v>
      </c>
      <c r="L13" s="67" t="s">
        <v>128</v>
      </c>
      <c r="M13" s="68" t="s">
        <v>38</v>
      </c>
      <c r="N13" s="68" t="s">
        <v>129</v>
      </c>
      <c r="O13" s="68" t="s">
        <v>130</v>
      </c>
      <c r="P13" s="67" t="s">
        <v>131</v>
      </c>
      <c r="Q13" s="186"/>
      <c r="R13" s="186"/>
      <c r="S13" s="186"/>
      <c r="T13" s="217"/>
      <c r="U13" s="211"/>
    </row>
    <row r="14" spans="1:23" s="60" customFormat="1" ht="125.25" customHeight="1" x14ac:dyDescent="0.2">
      <c r="B14" s="237" t="s">
        <v>52</v>
      </c>
      <c r="C14" s="224" t="s">
        <v>54</v>
      </c>
      <c r="D14" s="177" t="s">
        <v>132</v>
      </c>
      <c r="E14" s="170">
        <f>VLOOKUP(D14,Criterios!$A$20:$B$24,2,FALSE)</f>
        <v>0.6</v>
      </c>
      <c r="F14" s="200" t="str">
        <f>+'1. Mapa y plan de tratamiento'!F11</f>
        <v>1. Falta de seguimiento a la adecuada administración de los bienes y prestación de servicios de apoyo en unidades operativas de la entidad.</v>
      </c>
      <c r="G14" s="87" t="str">
        <f>+'1. Mapa y plan de tratamiento'!M11</f>
        <v>1. Mensualmente, el equipo de apoyo logístico asignado por el (la) Subdirector(a) Administrativo(a) y Financiero(a) es el responsable de planificar y gestionar visitas en sitio a las diferentes unidades operativas de la Entidad, con el fin de verificar la adecuada administración de los bienes y prestación de los servicios de apoyo, identificar necesidades y otras novedades.
Como evidencia se encuentra herramienta Microsoft forms, con las listas de chequeo diligenciadas en el proceso de verificación.</v>
      </c>
      <c r="H14" s="63" t="s">
        <v>133</v>
      </c>
      <c r="I14" s="64">
        <f>VLOOKUP(H14,Criterios!$B$3:$C$6,2,FALSE)</f>
        <v>0.25</v>
      </c>
      <c r="J14" s="63" t="s">
        <v>61</v>
      </c>
      <c r="K14" s="64">
        <f>VLOOKUP(J14,Criterios!$B$7:$C$9,2,FALSE)</f>
        <v>0.15</v>
      </c>
      <c r="L14" s="63" t="s">
        <v>134</v>
      </c>
      <c r="M14" s="63" t="s">
        <v>135</v>
      </c>
      <c r="N14" s="63" t="s">
        <v>136</v>
      </c>
      <c r="O14" s="63" t="s">
        <v>137</v>
      </c>
      <c r="P14" s="63" t="s">
        <v>138</v>
      </c>
      <c r="Q14" s="62">
        <f t="shared" ref="Q14:Q43" si="0">+I14+K14</f>
        <v>0.4</v>
      </c>
      <c r="R14" s="62">
        <f>(E14-(E14*Q14))</f>
        <v>0.36</v>
      </c>
      <c r="S14" s="182">
        <f>IF(R15&gt;1%,R15,R14)</f>
        <v>0.36</v>
      </c>
      <c r="T14" s="173">
        <f>IF(S18&gt;1%,S18,(IF(S16&gt;1%,S16,S14)))</f>
        <v>0.216</v>
      </c>
      <c r="U14" s="195" t="str">
        <f>IF(T14&lt;=20%,Criterios!$A$20,IF(T14&lt;=40%,Criterios!$A$21,IF(T14&lt;=60%,Criterios!$A$22,IF(T14&lt;=80,Criterios!$A$23,Criterios!$A$24))))</f>
        <v>Baja</v>
      </c>
    </row>
    <row r="15" spans="1:23" s="60" customFormat="1" ht="14.25" x14ac:dyDescent="0.2">
      <c r="B15" s="238"/>
      <c r="C15" s="225"/>
      <c r="D15" s="178"/>
      <c r="E15" s="171"/>
      <c r="F15" s="201"/>
      <c r="G15" s="88" t="s">
        <v>139</v>
      </c>
      <c r="H15" s="49" t="s">
        <v>140</v>
      </c>
      <c r="I15" s="58">
        <f>VLOOKUP(H15,Criterios!$B$3:$C$6,2,FALSE)</f>
        <v>0</v>
      </c>
      <c r="J15" s="57" t="s">
        <v>140</v>
      </c>
      <c r="K15" s="58">
        <f>VLOOKUP(J15,Criterios!$B$7:$C$9,2,FALSE)</f>
        <v>0</v>
      </c>
      <c r="L15" s="57"/>
      <c r="M15" s="57"/>
      <c r="N15" s="57"/>
      <c r="O15" s="57"/>
      <c r="P15" s="57"/>
      <c r="Q15" s="56">
        <f t="shared" si="0"/>
        <v>0</v>
      </c>
      <c r="R15" s="56">
        <f>(R14-(R14*Q15))</f>
        <v>0.36</v>
      </c>
      <c r="S15" s="183"/>
      <c r="T15" s="174"/>
      <c r="U15" s="196"/>
    </row>
    <row r="16" spans="1:23" s="60" customFormat="1" ht="156.75" customHeight="1" x14ac:dyDescent="0.2">
      <c r="B16" s="238"/>
      <c r="C16" s="225"/>
      <c r="D16" s="178"/>
      <c r="E16" s="171"/>
      <c r="F16" s="201" t="str">
        <f>+'1. Mapa y plan de tratamiento'!F12</f>
        <v>2. Baja sistematización y herramientas que permitan administrar la información generada como producto de la ejecución de los servicios de apoyo.</v>
      </c>
      <c r="G16" s="88" t="str">
        <f>+'1. Mapa y plan de tratamiento'!M12</f>
        <v>2.  Mensualmente el equipo de inventarios asignado por el Subdirector(a) Administrativo(a) y Financiero(a) es el responsable de planificar y gestionar las pruebas representativas o toma física de inventarios, de los bienes, muebles y equipos que se encuentran bajo la custodia y responsabilidad de los funcionarios  y contratistas de la Secretaria Distrital de Integración Social, de acuerdo a las solicitudes allegadas con el  objetivo de administrar y controlar los bienes de inventarios de toda la Entidad.
Como evidencia se cuentan con los Formato Prueba representativa de inventario de bienes (FOR-GL-044) y/o Formato Planilla física toma de inventario (FOR-GL-002), diligenciados en el periodo.</v>
      </c>
      <c r="H16" s="63" t="s">
        <v>133</v>
      </c>
      <c r="I16" s="58">
        <f>VLOOKUP(H16,Criterios!$B$3:$C$6,2,FALSE)</f>
        <v>0.25</v>
      </c>
      <c r="J16" s="57" t="s">
        <v>61</v>
      </c>
      <c r="K16" s="58">
        <f>VLOOKUP(J16,Criterios!$B$7:$C$9,2,FALSE)</f>
        <v>0.15</v>
      </c>
      <c r="L16" s="57" t="s">
        <v>134</v>
      </c>
      <c r="M16" s="63" t="s">
        <v>135</v>
      </c>
      <c r="N16" s="63" t="s">
        <v>136</v>
      </c>
      <c r="O16" s="57" t="s">
        <v>137</v>
      </c>
      <c r="P16" s="57" t="s">
        <v>138</v>
      </c>
      <c r="Q16" s="56">
        <f t="shared" si="0"/>
        <v>0.4</v>
      </c>
      <c r="R16" s="56">
        <f>IF(Q16&gt;1%,(R15-(R15*Q16)),Q16)</f>
        <v>0.216</v>
      </c>
      <c r="S16" s="183">
        <f>IF(R17&gt;1%,R17,R16)</f>
        <v>0.216</v>
      </c>
      <c r="T16" s="174"/>
      <c r="U16" s="196"/>
    </row>
    <row r="17" spans="2:21" s="60" customFormat="1" ht="14.25" x14ac:dyDescent="0.2">
      <c r="B17" s="238"/>
      <c r="C17" s="225"/>
      <c r="D17" s="178"/>
      <c r="E17" s="171"/>
      <c r="F17" s="201"/>
      <c r="G17" s="88" t="s">
        <v>139</v>
      </c>
      <c r="H17" s="49" t="s">
        <v>140</v>
      </c>
      <c r="I17" s="58">
        <f>VLOOKUP(H17,Criterios!$B$3:$C$6,2,FALSE)</f>
        <v>0</v>
      </c>
      <c r="J17" s="57" t="s">
        <v>140</v>
      </c>
      <c r="K17" s="58">
        <f>VLOOKUP(J17,Criterios!$B$7:$C$9,2,FALSE)</f>
        <v>0</v>
      </c>
      <c r="L17" s="57"/>
      <c r="M17" s="57"/>
      <c r="N17" s="57"/>
      <c r="O17" s="57"/>
      <c r="P17" s="57"/>
      <c r="Q17" s="56">
        <f t="shared" si="0"/>
        <v>0</v>
      </c>
      <c r="R17" s="56">
        <f>(R16-(R16*Q17))</f>
        <v>0.216</v>
      </c>
      <c r="S17" s="183"/>
      <c r="T17" s="174"/>
      <c r="U17" s="196"/>
    </row>
    <row r="18" spans="2:21" s="60" customFormat="1" ht="14.25" x14ac:dyDescent="0.2">
      <c r="B18" s="238"/>
      <c r="C18" s="225"/>
      <c r="D18" s="178"/>
      <c r="E18" s="171"/>
      <c r="F18" s="181" t="s">
        <v>141</v>
      </c>
      <c r="G18" s="89" t="s">
        <v>142</v>
      </c>
      <c r="H18" s="49" t="s">
        <v>140</v>
      </c>
      <c r="I18" s="54">
        <f>VLOOKUP(H18,Criterios!$B$3:$C$6,2,FALSE)</f>
        <v>0</v>
      </c>
      <c r="J18" s="57" t="s">
        <v>140</v>
      </c>
      <c r="K18" s="54">
        <f>VLOOKUP(J18,Criterios!$B$7:$C$9,2,FALSE)</f>
        <v>0</v>
      </c>
      <c r="L18" s="53"/>
      <c r="M18" s="53"/>
      <c r="N18" s="53"/>
      <c r="O18" s="53"/>
      <c r="P18" s="53"/>
      <c r="Q18" s="52">
        <f t="shared" si="0"/>
        <v>0</v>
      </c>
      <c r="R18" s="52">
        <f>IF(Q18&gt;1%,(R17-(R17*Q18)),Q18)</f>
        <v>0</v>
      </c>
      <c r="S18" s="188">
        <f>IF(R19&gt;1%,R19,R18)</f>
        <v>0</v>
      </c>
      <c r="T18" s="174"/>
      <c r="U18" s="196"/>
    </row>
    <row r="19" spans="2:21" s="60" customFormat="1" ht="14.25" x14ac:dyDescent="0.2">
      <c r="B19" s="239"/>
      <c r="C19" s="226"/>
      <c r="D19" s="179"/>
      <c r="E19" s="172"/>
      <c r="F19" s="218"/>
      <c r="G19" s="90">
        <v>2</v>
      </c>
      <c r="H19" s="49" t="s">
        <v>140</v>
      </c>
      <c r="I19" s="50">
        <f>VLOOKUP(H19,Criterios!$B$3:$C$6,2,FALSE)</f>
        <v>0</v>
      </c>
      <c r="J19" s="57" t="s">
        <v>140</v>
      </c>
      <c r="K19" s="50">
        <f>VLOOKUP(J19,Criterios!$B$7:$C$9,2,FALSE)</f>
        <v>0</v>
      </c>
      <c r="L19" s="49"/>
      <c r="M19" s="49"/>
      <c r="N19" s="49"/>
      <c r="O19" s="49"/>
      <c r="P19" s="49"/>
      <c r="Q19" s="48">
        <f t="shared" si="0"/>
        <v>0</v>
      </c>
      <c r="R19" s="48">
        <f>IF(Q19&gt;1%,(R18-(R18*Q19)),Q19)</f>
        <v>0</v>
      </c>
      <c r="S19" s="189"/>
      <c r="T19" s="175"/>
      <c r="U19" s="197"/>
    </row>
    <row r="20" spans="2:21" s="60" customFormat="1" ht="115.5" customHeight="1" x14ac:dyDescent="0.2">
      <c r="B20" s="237" t="s">
        <v>82</v>
      </c>
      <c r="C20" s="224" t="s">
        <v>84</v>
      </c>
      <c r="D20" s="177" t="s">
        <v>132</v>
      </c>
      <c r="E20" s="170">
        <f>VLOOKUP(D20,Criterios!$A$20:$B$24,2,FALSE)</f>
        <v>0.6</v>
      </c>
      <c r="F20" s="200" t="s">
        <v>83</v>
      </c>
      <c r="G20" s="87" t="str">
        <f>+'1. Mapa y plan de tratamiento'!M13</f>
        <v>1. Semestralmente el funcionario(a) o contratista asignado(a) por el Subdirector(a) Administrativo(a) y Financiero(a) realiza seguimiento a la gestión y el estado de los procesos de contratación de servicios de apoyo logístico, de acuerdo con el Plan Anual de Adquisiciones, generando las alertas tempranas al equipo de apoyo logístico, para garantizar la oportuna contratación de los servicios de apoyo.
Como evidencia, se encuentra el archivo en formato Excel con el estado actual de los procesos de contratación y las alertas tempranas generadas.</v>
      </c>
      <c r="H20" s="63" t="s">
        <v>133</v>
      </c>
      <c r="I20" s="64">
        <f>VLOOKUP(H20,Criterios!$B$3:$C$6,2,FALSE)</f>
        <v>0.25</v>
      </c>
      <c r="J20" s="57" t="s">
        <v>61</v>
      </c>
      <c r="K20" s="57">
        <f>VLOOKUP(J20,Criterios!$B$7:$C$9,2,FALSE)</f>
        <v>0.15</v>
      </c>
      <c r="L20" s="57" t="s">
        <v>134</v>
      </c>
      <c r="M20" s="57" t="s">
        <v>135</v>
      </c>
      <c r="N20" s="57" t="s">
        <v>136</v>
      </c>
      <c r="O20" s="57" t="s">
        <v>137</v>
      </c>
      <c r="P20" s="57" t="s">
        <v>138</v>
      </c>
      <c r="Q20" s="56">
        <f t="shared" si="0"/>
        <v>0.4</v>
      </c>
      <c r="R20" s="56">
        <f>(E20-(E20*Q20))</f>
        <v>0.36</v>
      </c>
      <c r="S20" s="182">
        <f>IF(R21&gt;1%,R21,R20)</f>
        <v>0.216</v>
      </c>
      <c r="T20" s="173">
        <f>IF(S24&gt;1%,S24,(IF(S22&gt;1%,S22,S20)))</f>
        <v>0.216</v>
      </c>
      <c r="U20" s="195" t="s">
        <v>143</v>
      </c>
    </row>
    <row r="21" spans="2:21" s="60" customFormat="1" ht="193.5" customHeight="1" x14ac:dyDescent="0.2">
      <c r="B21" s="238"/>
      <c r="C21" s="225"/>
      <c r="D21" s="178"/>
      <c r="E21" s="171"/>
      <c r="F21" s="201"/>
      <c r="G21" s="88" t="str">
        <f>+'1. Mapa y plan de tratamiento'!M14</f>
        <v>2. Mensualmente el funcionario(a) o contratista delegado(a) por el Subdirector(a) Administrativo(a) y Financiero(a) solicita a la Subdirección de Plantas Físicas y Dirección de Análisis y Diseño Estratégico la base de datos actualizada con los predios que se encuentran bajo responsabilidad de las SDIS, adicionalmente, la Subdirección de Plantas Física realiza entrega de  las actas que contienen información de los predios que entran en funcionamiento y así mismo de los que dejan de funcionar (inclusión y exclusión de predios), con el propósito de actualizar oportunamente las bases de datos y realizar el pago masivo de los servicios públicos, para así prevenir el pago extemporáneo, la suspensión y sobrecostos  de los mismos.
Como evidencia se cuenta con las bases de datos de servicios públicos actualizadas, las  inclusiones y exclusiones presentadas en el periodo o correos electrónicos.</v>
      </c>
      <c r="H21" s="57" t="s">
        <v>133</v>
      </c>
      <c r="I21" s="58">
        <f>VLOOKUP(H21,Criterios!$B$3:$C$6,2,FALSE)</f>
        <v>0.25</v>
      </c>
      <c r="J21" s="57" t="s">
        <v>61</v>
      </c>
      <c r="K21" s="57">
        <f>VLOOKUP(J21,Criterios!$B$7:$C$9,2,FALSE)</f>
        <v>0.15</v>
      </c>
      <c r="L21" s="57" t="s">
        <v>134</v>
      </c>
      <c r="M21" s="57" t="s">
        <v>135</v>
      </c>
      <c r="N21" s="57" t="s">
        <v>136</v>
      </c>
      <c r="O21" s="57" t="s">
        <v>137</v>
      </c>
      <c r="P21" s="57" t="s">
        <v>138</v>
      </c>
      <c r="Q21" s="56">
        <f t="shared" si="0"/>
        <v>0.4</v>
      </c>
      <c r="R21" s="56">
        <f>(R20-(R20*Q21))</f>
        <v>0.216</v>
      </c>
      <c r="S21" s="183"/>
      <c r="T21" s="174"/>
      <c r="U21" s="196"/>
    </row>
    <row r="22" spans="2:21" s="60" customFormat="1" ht="14.25" x14ac:dyDescent="0.2">
      <c r="B22" s="238"/>
      <c r="C22" s="225"/>
      <c r="D22" s="178"/>
      <c r="E22" s="171"/>
      <c r="F22" s="201" t="s">
        <v>144</v>
      </c>
      <c r="G22" s="88" t="s">
        <v>145</v>
      </c>
      <c r="H22" s="57" t="s">
        <v>140</v>
      </c>
      <c r="I22" s="58">
        <f>VLOOKUP(H22,Criterios!$B$3:$C$6,2,FALSE)</f>
        <v>0</v>
      </c>
      <c r="J22" s="57" t="s">
        <v>140</v>
      </c>
      <c r="K22" s="58">
        <f>VLOOKUP(J22,Criterios!$B$7:$C$9,2,FALSE)</f>
        <v>0</v>
      </c>
      <c r="L22" s="57"/>
      <c r="M22" s="57"/>
      <c r="N22" s="57"/>
      <c r="O22" s="57"/>
      <c r="P22" s="57"/>
      <c r="Q22" s="56">
        <f t="shared" si="0"/>
        <v>0</v>
      </c>
      <c r="R22" s="56">
        <f>IF(Q22&gt;1%,(R21-(R21*Q22)),Q22)</f>
        <v>0</v>
      </c>
      <c r="S22" s="183">
        <f>IF(R23&gt;1%,R23,R22)</f>
        <v>0</v>
      </c>
      <c r="T22" s="174"/>
      <c r="U22" s="196"/>
    </row>
    <row r="23" spans="2:21" s="60" customFormat="1" ht="14.25" x14ac:dyDescent="0.2">
      <c r="B23" s="238"/>
      <c r="C23" s="225"/>
      <c r="D23" s="178"/>
      <c r="E23" s="171"/>
      <c r="F23" s="201"/>
      <c r="G23" s="88" t="s">
        <v>144</v>
      </c>
      <c r="H23" s="57" t="s">
        <v>140</v>
      </c>
      <c r="I23" s="58">
        <f>VLOOKUP(H23,Criterios!$B$3:$C$6,2,FALSE)</f>
        <v>0</v>
      </c>
      <c r="J23" s="57" t="s">
        <v>140</v>
      </c>
      <c r="K23" s="58">
        <f>VLOOKUP(J23,Criterios!$B$7:$C$9,2,FALSE)</f>
        <v>0</v>
      </c>
      <c r="L23" s="57"/>
      <c r="M23" s="57"/>
      <c r="N23" s="57"/>
      <c r="O23" s="57"/>
      <c r="P23" s="57"/>
      <c r="Q23" s="56">
        <f t="shared" si="0"/>
        <v>0</v>
      </c>
      <c r="R23" s="56">
        <f>(R22-(R22*Q23))</f>
        <v>0</v>
      </c>
      <c r="S23" s="183"/>
      <c r="T23" s="174"/>
      <c r="U23" s="196"/>
    </row>
    <row r="24" spans="2:21" s="60" customFormat="1" ht="14.25" x14ac:dyDescent="0.2">
      <c r="B24" s="238"/>
      <c r="C24" s="225"/>
      <c r="D24" s="178"/>
      <c r="E24" s="171"/>
      <c r="F24" s="198" t="s">
        <v>146</v>
      </c>
      <c r="G24" s="55" t="s">
        <v>145</v>
      </c>
      <c r="H24" s="57" t="s">
        <v>140</v>
      </c>
      <c r="I24" s="54">
        <f>VLOOKUP(H24,Criterios!$B$3:$C$6,2,FALSE)</f>
        <v>0</v>
      </c>
      <c r="J24" s="57" t="s">
        <v>140</v>
      </c>
      <c r="K24" s="54">
        <f>VLOOKUP(J24,Criterios!$B$7:$C$9,2,FALSE)</f>
        <v>0</v>
      </c>
      <c r="L24" s="53"/>
      <c r="M24" s="53"/>
      <c r="N24" s="53"/>
      <c r="O24" s="53"/>
      <c r="P24" s="53"/>
      <c r="Q24" s="52">
        <f t="shared" si="0"/>
        <v>0</v>
      </c>
      <c r="R24" s="52">
        <f>IF(Q24&gt;1%,(R23-(R23*Q24)),Q24)</f>
        <v>0</v>
      </c>
      <c r="S24" s="188">
        <f>IF(R25&gt;1%,R25,R24)</f>
        <v>0</v>
      </c>
      <c r="T24" s="174"/>
      <c r="U24" s="196"/>
    </row>
    <row r="25" spans="2:21" s="60" customFormat="1" ht="14.25" x14ac:dyDescent="0.2">
      <c r="B25" s="239"/>
      <c r="C25" s="226"/>
      <c r="D25" s="179"/>
      <c r="E25" s="172"/>
      <c r="F25" s="199"/>
      <c r="G25" s="51" t="s">
        <v>144</v>
      </c>
      <c r="H25" s="57" t="s">
        <v>140</v>
      </c>
      <c r="I25" s="50">
        <f>VLOOKUP(H25,Criterios!$B$3:$C$6,2,FALSE)</f>
        <v>0</v>
      </c>
      <c r="J25" s="57" t="s">
        <v>140</v>
      </c>
      <c r="K25" s="50">
        <f>VLOOKUP(J25,Criterios!$B$7:$C$9,2,FALSE)</f>
        <v>0</v>
      </c>
      <c r="L25" s="49"/>
      <c r="M25" s="49"/>
      <c r="N25" s="49"/>
      <c r="O25" s="49"/>
      <c r="P25" s="49"/>
      <c r="Q25" s="48">
        <f t="shared" si="0"/>
        <v>0</v>
      </c>
      <c r="R25" s="48">
        <f>IF(Q25&gt;1%,(R24-(R24*Q25)),Q25)</f>
        <v>0</v>
      </c>
      <c r="S25" s="189"/>
      <c r="T25" s="175"/>
      <c r="U25" s="197"/>
    </row>
    <row r="26" spans="2:21" s="60" customFormat="1" ht="14.25" hidden="1" x14ac:dyDescent="0.2">
      <c r="B26" s="237"/>
      <c r="C26" s="237"/>
      <c r="D26" s="177"/>
      <c r="E26" s="170" t="e">
        <f>VLOOKUP(D26,Criterios!$A$20:$B$24,2,FALSE)</f>
        <v>#N/A</v>
      </c>
      <c r="F26" s="219" t="s">
        <v>142</v>
      </c>
      <c r="G26" s="65" t="s">
        <v>145</v>
      </c>
      <c r="H26" s="63"/>
      <c r="I26" s="64" t="e">
        <f>VLOOKUP(H26,Criterios!$B$3:$C$6,2,FALSE)</f>
        <v>#N/A</v>
      </c>
      <c r="J26" s="63"/>
      <c r="K26" s="64" t="e">
        <f>VLOOKUP(J26,Criterios!$B$7:$C$9,2,FALSE)</f>
        <v>#N/A</v>
      </c>
      <c r="L26" s="63"/>
      <c r="M26" s="63"/>
      <c r="N26" s="63"/>
      <c r="O26" s="63"/>
      <c r="P26" s="63"/>
      <c r="Q26" s="62" t="e">
        <f t="shared" si="0"/>
        <v>#N/A</v>
      </c>
      <c r="R26" s="62" t="e">
        <f>(E26-(E26*Q26))</f>
        <v>#N/A</v>
      </c>
      <c r="S26" s="182" t="e">
        <f>IF(R27&gt;1%,R27,R26)</f>
        <v>#N/A</v>
      </c>
      <c r="T26" s="173" t="e">
        <f>IF(S30&gt;1%,S30,(IF(S28&gt;1%,S28,S26)))</f>
        <v>#N/A</v>
      </c>
      <c r="U26" s="195" t="e">
        <f>IF(T26&lt;=20%,Criterios!$A$20,IF(T26&lt;=40%,Criterios!$A$21,IF(T26&lt;=60%,Criterios!$A$22,IF(T26&lt;=80,Criterios!$A$23,Criterios!$A$24))))</f>
        <v>#N/A</v>
      </c>
    </row>
    <row r="27" spans="2:21" s="60" customFormat="1" ht="14.25" hidden="1" x14ac:dyDescent="0.2">
      <c r="B27" s="238"/>
      <c r="C27" s="238"/>
      <c r="D27" s="178"/>
      <c r="E27" s="171"/>
      <c r="F27" s="176"/>
      <c r="G27" s="59" t="s">
        <v>144</v>
      </c>
      <c r="H27" s="57"/>
      <c r="I27" s="58" t="e">
        <f>VLOOKUP(H27,Criterios!$B$3:$C$6,2,FALSE)</f>
        <v>#N/A</v>
      </c>
      <c r="J27" s="57"/>
      <c r="K27" s="58" t="e">
        <f>VLOOKUP(J27,Criterios!$B$7:$C$9,2,FALSE)</f>
        <v>#N/A</v>
      </c>
      <c r="L27" s="57"/>
      <c r="M27" s="57"/>
      <c r="N27" s="57"/>
      <c r="O27" s="57"/>
      <c r="P27" s="57"/>
      <c r="Q27" s="56" t="e">
        <f t="shared" si="0"/>
        <v>#N/A</v>
      </c>
      <c r="R27" s="56" t="e">
        <f>(R26-(R26*Q27))</f>
        <v>#N/A</v>
      </c>
      <c r="S27" s="183"/>
      <c r="T27" s="174"/>
      <c r="U27" s="196"/>
    </row>
    <row r="28" spans="2:21" s="60" customFormat="1" ht="14.25" hidden="1" x14ac:dyDescent="0.2">
      <c r="B28" s="238"/>
      <c r="C28" s="238"/>
      <c r="D28" s="178"/>
      <c r="E28" s="171"/>
      <c r="F28" s="176" t="s">
        <v>139</v>
      </c>
      <c r="G28" s="59" t="s">
        <v>145</v>
      </c>
      <c r="H28" s="57"/>
      <c r="I28" s="58" t="e">
        <f>VLOOKUP(H28,Criterios!$B$3:$C$6,2,FALSE)</f>
        <v>#N/A</v>
      </c>
      <c r="J28" s="57"/>
      <c r="K28" s="58" t="e">
        <f>VLOOKUP(J28,Criterios!$B$7:$C$9,2,FALSE)</f>
        <v>#N/A</v>
      </c>
      <c r="L28" s="57"/>
      <c r="M28" s="57"/>
      <c r="N28" s="57"/>
      <c r="O28" s="57"/>
      <c r="P28" s="57"/>
      <c r="Q28" s="56" t="e">
        <f t="shared" si="0"/>
        <v>#N/A</v>
      </c>
      <c r="R28" s="56" t="e">
        <f>IF(Q28&gt;1%,(R27-(R27*Q28)),Q28)</f>
        <v>#N/A</v>
      </c>
      <c r="S28" s="183" t="e">
        <f>IF(R29&gt;1%,R29,R28)</f>
        <v>#N/A</v>
      </c>
      <c r="T28" s="174"/>
      <c r="U28" s="196"/>
    </row>
    <row r="29" spans="2:21" s="60" customFormat="1" ht="14.25" hidden="1" x14ac:dyDescent="0.2">
      <c r="B29" s="238"/>
      <c r="C29" s="238"/>
      <c r="D29" s="178"/>
      <c r="E29" s="171"/>
      <c r="F29" s="176"/>
      <c r="G29" s="59" t="s">
        <v>144</v>
      </c>
      <c r="H29" s="57"/>
      <c r="I29" s="58" t="e">
        <f>VLOOKUP(H29,Criterios!$B$3:$C$6,2,FALSE)</f>
        <v>#N/A</v>
      </c>
      <c r="J29" s="57"/>
      <c r="K29" s="58" t="e">
        <f>VLOOKUP(J29,Criterios!$B$7:$C$9,2,FALSE)</f>
        <v>#N/A</v>
      </c>
      <c r="L29" s="57"/>
      <c r="M29" s="57"/>
      <c r="N29" s="57"/>
      <c r="O29" s="57"/>
      <c r="P29" s="57"/>
      <c r="Q29" s="56" t="e">
        <f t="shared" si="0"/>
        <v>#N/A</v>
      </c>
      <c r="R29" s="56" t="e">
        <f>(R28-(R28*Q29))</f>
        <v>#N/A</v>
      </c>
      <c r="S29" s="183"/>
      <c r="T29" s="174"/>
      <c r="U29" s="196"/>
    </row>
    <row r="30" spans="2:21" s="60" customFormat="1" ht="14.25" hidden="1" x14ac:dyDescent="0.2">
      <c r="B30" s="238"/>
      <c r="C30" s="238"/>
      <c r="D30" s="178"/>
      <c r="E30" s="171"/>
      <c r="F30" s="198" t="s">
        <v>141</v>
      </c>
      <c r="G30" s="55" t="s">
        <v>145</v>
      </c>
      <c r="H30" s="53"/>
      <c r="I30" s="54" t="e">
        <f>VLOOKUP(H30,Criterios!$B$3:$C$6,2,FALSE)</f>
        <v>#N/A</v>
      </c>
      <c r="J30" s="53"/>
      <c r="K30" s="54" t="e">
        <f>VLOOKUP(J30,Criterios!$B$7:$C$9,2,FALSE)</f>
        <v>#N/A</v>
      </c>
      <c r="L30" s="53"/>
      <c r="M30" s="53"/>
      <c r="N30" s="53"/>
      <c r="O30" s="53"/>
      <c r="P30" s="53"/>
      <c r="Q30" s="52" t="e">
        <f t="shared" si="0"/>
        <v>#N/A</v>
      </c>
      <c r="R30" s="52" t="e">
        <f>IF(Q30&gt;1%,(R29-(R29*Q30)),Q30)</f>
        <v>#N/A</v>
      </c>
      <c r="S30" s="188" t="e">
        <f>IF(R31&gt;1%,R31,R30)</f>
        <v>#N/A</v>
      </c>
      <c r="T30" s="174"/>
      <c r="U30" s="196"/>
    </row>
    <row r="31" spans="2:21" s="60" customFormat="1" ht="14.25" hidden="1" x14ac:dyDescent="0.2">
      <c r="B31" s="239"/>
      <c r="C31" s="239"/>
      <c r="D31" s="179"/>
      <c r="E31" s="172"/>
      <c r="F31" s="199"/>
      <c r="G31" s="51" t="s">
        <v>144</v>
      </c>
      <c r="H31" s="49"/>
      <c r="I31" s="50" t="e">
        <f>VLOOKUP(H31,Criterios!$B$3:$C$6,2,FALSE)</f>
        <v>#N/A</v>
      </c>
      <c r="J31" s="49"/>
      <c r="K31" s="50" t="e">
        <f>VLOOKUP(J31,Criterios!$B$7:$C$9,2,FALSE)</f>
        <v>#N/A</v>
      </c>
      <c r="L31" s="49"/>
      <c r="M31" s="49"/>
      <c r="N31" s="49"/>
      <c r="O31" s="49"/>
      <c r="P31" s="49"/>
      <c r="Q31" s="48" t="e">
        <f t="shared" si="0"/>
        <v>#N/A</v>
      </c>
      <c r="R31" s="48" t="e">
        <f>IF(Q31&gt;1%,(R30-(R30*Q31)),Q31)</f>
        <v>#N/A</v>
      </c>
      <c r="S31" s="189"/>
      <c r="T31" s="175"/>
      <c r="U31" s="197"/>
    </row>
    <row r="32" spans="2:21" s="60" customFormat="1" ht="14.25" hidden="1" x14ac:dyDescent="0.2">
      <c r="B32" s="237"/>
      <c r="C32" s="237"/>
      <c r="D32" s="177"/>
      <c r="E32" s="170" t="e">
        <f>VLOOKUP(D32,Criterios!$A$20:$B$24,2,FALSE)</f>
        <v>#N/A</v>
      </c>
      <c r="F32" s="219" t="s">
        <v>142</v>
      </c>
      <c r="G32" s="65" t="s">
        <v>145</v>
      </c>
      <c r="H32" s="63"/>
      <c r="I32" s="64" t="e">
        <f>VLOOKUP(H32,Criterios!$B$3:$C$6,2,FALSE)</f>
        <v>#N/A</v>
      </c>
      <c r="J32" s="63"/>
      <c r="K32" s="64" t="e">
        <f>VLOOKUP(J32,Criterios!$B$7:$C$9,2,FALSE)</f>
        <v>#N/A</v>
      </c>
      <c r="L32" s="63"/>
      <c r="M32" s="63"/>
      <c r="N32" s="63"/>
      <c r="O32" s="63"/>
      <c r="P32" s="63"/>
      <c r="Q32" s="62" t="e">
        <f t="shared" si="0"/>
        <v>#N/A</v>
      </c>
      <c r="R32" s="62" t="e">
        <f>(E32-(E32*Q32))</f>
        <v>#N/A</v>
      </c>
      <c r="S32" s="182" t="e">
        <f>IF(R33&gt;1%,R33,R32)</f>
        <v>#N/A</v>
      </c>
      <c r="T32" s="173" t="e">
        <f>IF(S36&gt;1%,S36,(IF(S34&gt;1%,S34,S32)))</f>
        <v>#N/A</v>
      </c>
      <c r="U32" s="195" t="e">
        <f>IF(T32&lt;=20%,Criterios!$A$20,IF(T32&lt;=40%,Criterios!$A$21,IF(T32&lt;=60%,Criterios!$A$22,IF(T32&lt;=80,Criterios!$A$23,Criterios!$A$24))))</f>
        <v>#N/A</v>
      </c>
    </row>
    <row r="33" spans="1:23" s="60" customFormat="1" ht="14.25" hidden="1" x14ac:dyDescent="0.2">
      <c r="B33" s="238"/>
      <c r="C33" s="238"/>
      <c r="D33" s="178"/>
      <c r="E33" s="171"/>
      <c r="F33" s="176"/>
      <c r="G33" s="59" t="s">
        <v>144</v>
      </c>
      <c r="H33" s="57"/>
      <c r="I33" s="58" t="e">
        <f>VLOOKUP(H33,Criterios!$B$3:$C$6,2,FALSE)</f>
        <v>#N/A</v>
      </c>
      <c r="J33" s="57"/>
      <c r="K33" s="58" t="e">
        <f>VLOOKUP(J33,Criterios!$B$7:$C$9,2,FALSE)</f>
        <v>#N/A</v>
      </c>
      <c r="L33" s="57"/>
      <c r="M33" s="57"/>
      <c r="N33" s="57"/>
      <c r="O33" s="57"/>
      <c r="P33" s="57"/>
      <c r="Q33" s="56" t="e">
        <f t="shared" si="0"/>
        <v>#N/A</v>
      </c>
      <c r="R33" s="56" t="e">
        <f>(R32-(R32*Q33))</f>
        <v>#N/A</v>
      </c>
      <c r="S33" s="183"/>
      <c r="T33" s="174"/>
      <c r="U33" s="196"/>
    </row>
    <row r="34" spans="1:23" s="60" customFormat="1" ht="14.25" hidden="1" x14ac:dyDescent="0.2">
      <c r="B34" s="238"/>
      <c r="C34" s="238"/>
      <c r="D34" s="178"/>
      <c r="E34" s="171"/>
      <c r="F34" s="176" t="s">
        <v>139</v>
      </c>
      <c r="G34" s="59" t="s">
        <v>145</v>
      </c>
      <c r="H34" s="57"/>
      <c r="I34" s="58" t="e">
        <f>VLOOKUP(H34,Criterios!$B$3:$C$6,2,FALSE)</f>
        <v>#N/A</v>
      </c>
      <c r="J34" s="57"/>
      <c r="K34" s="58" t="e">
        <f>VLOOKUP(J34,Criterios!$B$7:$C$9,2,FALSE)</f>
        <v>#N/A</v>
      </c>
      <c r="L34" s="57"/>
      <c r="M34" s="57"/>
      <c r="N34" s="57"/>
      <c r="O34" s="57"/>
      <c r="P34" s="57"/>
      <c r="Q34" s="56" t="e">
        <f t="shared" si="0"/>
        <v>#N/A</v>
      </c>
      <c r="R34" s="56" t="e">
        <f>IF(Q34&gt;1%,(R33-(R33*Q34)),Q34)</f>
        <v>#N/A</v>
      </c>
      <c r="S34" s="183" t="e">
        <f>IF(R35&gt;1%,R35,R34)</f>
        <v>#N/A</v>
      </c>
      <c r="T34" s="174"/>
      <c r="U34" s="196"/>
    </row>
    <row r="35" spans="1:23" s="60" customFormat="1" ht="14.25" hidden="1" x14ac:dyDescent="0.2">
      <c r="B35" s="238"/>
      <c r="C35" s="238"/>
      <c r="D35" s="178"/>
      <c r="E35" s="171"/>
      <c r="F35" s="176"/>
      <c r="G35" s="59" t="s">
        <v>144</v>
      </c>
      <c r="H35" s="57"/>
      <c r="I35" s="58" t="e">
        <f>VLOOKUP(H35,Criterios!$B$3:$C$6,2,FALSE)</f>
        <v>#N/A</v>
      </c>
      <c r="J35" s="57"/>
      <c r="K35" s="58" t="e">
        <f>VLOOKUP(J35,Criterios!$B$7:$C$9,2,FALSE)</f>
        <v>#N/A</v>
      </c>
      <c r="L35" s="57"/>
      <c r="M35" s="57"/>
      <c r="N35" s="57"/>
      <c r="O35" s="57"/>
      <c r="P35" s="57"/>
      <c r="Q35" s="56" t="e">
        <f t="shared" si="0"/>
        <v>#N/A</v>
      </c>
      <c r="R35" s="56" t="e">
        <f>(R34-(R34*Q35))</f>
        <v>#N/A</v>
      </c>
      <c r="S35" s="183"/>
      <c r="T35" s="174"/>
      <c r="U35" s="196"/>
    </row>
    <row r="36" spans="1:23" s="60" customFormat="1" ht="14.25" hidden="1" x14ac:dyDescent="0.2">
      <c r="B36" s="238"/>
      <c r="C36" s="238"/>
      <c r="D36" s="178"/>
      <c r="E36" s="171"/>
      <c r="F36" s="198" t="s">
        <v>141</v>
      </c>
      <c r="G36" s="55" t="s">
        <v>145</v>
      </c>
      <c r="H36" s="53"/>
      <c r="I36" s="54" t="e">
        <f>VLOOKUP(H36,Criterios!$B$3:$C$6,2,FALSE)</f>
        <v>#N/A</v>
      </c>
      <c r="J36" s="53"/>
      <c r="K36" s="54" t="e">
        <f>VLOOKUP(J36,Criterios!$B$7:$C$9,2,FALSE)</f>
        <v>#N/A</v>
      </c>
      <c r="L36" s="53"/>
      <c r="M36" s="53"/>
      <c r="N36" s="53"/>
      <c r="O36" s="53"/>
      <c r="P36" s="53"/>
      <c r="Q36" s="52" t="e">
        <f t="shared" si="0"/>
        <v>#N/A</v>
      </c>
      <c r="R36" s="52" t="e">
        <f>IF(Q36&gt;1%,(R35-(R35*Q36)),Q36)</f>
        <v>#N/A</v>
      </c>
      <c r="S36" s="188" t="e">
        <f>IF(R37&gt;1%,R37,R36)</f>
        <v>#N/A</v>
      </c>
      <c r="T36" s="174"/>
      <c r="U36" s="196"/>
    </row>
    <row r="37" spans="1:23" s="60" customFormat="1" ht="14.25" hidden="1" x14ac:dyDescent="0.2">
      <c r="B37" s="239"/>
      <c r="C37" s="239"/>
      <c r="D37" s="179"/>
      <c r="E37" s="172"/>
      <c r="F37" s="199"/>
      <c r="G37" s="51" t="s">
        <v>144</v>
      </c>
      <c r="H37" s="49"/>
      <c r="I37" s="50" t="e">
        <f>VLOOKUP(H37,Criterios!$B$3:$C$6,2,FALSE)</f>
        <v>#N/A</v>
      </c>
      <c r="J37" s="49"/>
      <c r="K37" s="50" t="e">
        <f>VLOOKUP(J37,Criterios!$B$7:$C$9,2,FALSE)</f>
        <v>#N/A</v>
      </c>
      <c r="L37" s="49"/>
      <c r="M37" s="49"/>
      <c r="N37" s="49"/>
      <c r="O37" s="49"/>
      <c r="P37" s="49"/>
      <c r="Q37" s="48" t="e">
        <f t="shared" si="0"/>
        <v>#N/A</v>
      </c>
      <c r="R37" s="48" t="e">
        <f>IF(Q37&gt;1%,(R36-(R36*Q37)),Q37)</f>
        <v>#N/A</v>
      </c>
      <c r="S37" s="189"/>
      <c r="T37" s="175"/>
      <c r="U37" s="197"/>
    </row>
    <row r="38" spans="1:23" s="60" customFormat="1" ht="14.25" hidden="1" x14ac:dyDescent="0.2">
      <c r="B38" s="237"/>
      <c r="C38" s="237"/>
      <c r="D38" s="177"/>
      <c r="E38" s="170" t="e">
        <f>VLOOKUP(D38,Criterios!$A$20:$B$24,2,FALSE)</f>
        <v>#N/A</v>
      </c>
      <c r="F38" s="219" t="s">
        <v>142</v>
      </c>
      <c r="G38" s="65" t="s">
        <v>145</v>
      </c>
      <c r="H38" s="63"/>
      <c r="I38" s="64" t="e">
        <f>VLOOKUP(H38,Criterios!$B$3:$C$6,2,FALSE)</f>
        <v>#N/A</v>
      </c>
      <c r="J38" s="63"/>
      <c r="K38" s="64" t="e">
        <f>VLOOKUP(J38,Criterios!$B$7:$C$9,2,FALSE)</f>
        <v>#N/A</v>
      </c>
      <c r="L38" s="63"/>
      <c r="M38" s="63"/>
      <c r="N38" s="63"/>
      <c r="O38" s="63"/>
      <c r="P38" s="63"/>
      <c r="Q38" s="62" t="e">
        <f t="shared" si="0"/>
        <v>#N/A</v>
      </c>
      <c r="R38" s="62" t="e">
        <f>(E38-(E38*Q38))</f>
        <v>#N/A</v>
      </c>
      <c r="S38" s="182" t="e">
        <f>IF(R39&gt;1%,R39,R38)</f>
        <v>#N/A</v>
      </c>
      <c r="T38" s="173" t="e">
        <f>IF(S42&gt;1%,S42,(IF(S40&gt;1%,S40,S38)))</f>
        <v>#N/A</v>
      </c>
      <c r="U38" s="195" t="e">
        <f>IF(T38&lt;=20%,Criterios!$A$20,IF(T38&lt;=40%,Criterios!$A$21,IF(T38&lt;=60%,Criterios!$A$22,IF(T38&lt;=80,Criterios!$A$23,Criterios!$A$24))))</f>
        <v>#N/A</v>
      </c>
    </row>
    <row r="39" spans="1:23" s="60" customFormat="1" ht="14.25" hidden="1" x14ac:dyDescent="0.2">
      <c r="B39" s="238"/>
      <c r="C39" s="238"/>
      <c r="D39" s="178"/>
      <c r="E39" s="171"/>
      <c r="F39" s="176"/>
      <c r="G39" s="59" t="s">
        <v>144</v>
      </c>
      <c r="H39" s="57"/>
      <c r="I39" s="58" t="e">
        <f>VLOOKUP(H39,Criterios!$B$3:$C$6,2,FALSE)</f>
        <v>#N/A</v>
      </c>
      <c r="J39" s="57"/>
      <c r="K39" s="58" t="e">
        <f>VLOOKUP(J39,Criterios!$B$7:$C$9,2,FALSE)</f>
        <v>#N/A</v>
      </c>
      <c r="L39" s="57"/>
      <c r="M39" s="57"/>
      <c r="N39" s="57"/>
      <c r="O39" s="57"/>
      <c r="P39" s="57"/>
      <c r="Q39" s="56" t="e">
        <f t="shared" si="0"/>
        <v>#N/A</v>
      </c>
      <c r="R39" s="56" t="e">
        <f>(R38-(R38*Q39))</f>
        <v>#N/A</v>
      </c>
      <c r="S39" s="183"/>
      <c r="T39" s="174"/>
      <c r="U39" s="196"/>
    </row>
    <row r="40" spans="1:23" s="60" customFormat="1" ht="14.25" hidden="1" x14ac:dyDescent="0.2">
      <c r="B40" s="238"/>
      <c r="C40" s="238"/>
      <c r="D40" s="178"/>
      <c r="E40" s="171"/>
      <c r="F40" s="176" t="s">
        <v>139</v>
      </c>
      <c r="G40" s="59" t="s">
        <v>145</v>
      </c>
      <c r="H40" s="57"/>
      <c r="I40" s="58" t="e">
        <f>VLOOKUP(H40,Criterios!$B$3:$C$6,2,FALSE)</f>
        <v>#N/A</v>
      </c>
      <c r="J40" s="57"/>
      <c r="K40" s="58" t="e">
        <f>VLOOKUP(J40,Criterios!$B$7:$C$9,2,FALSE)</f>
        <v>#N/A</v>
      </c>
      <c r="L40" s="57"/>
      <c r="M40" s="57"/>
      <c r="N40" s="57"/>
      <c r="O40" s="57"/>
      <c r="P40" s="57"/>
      <c r="Q40" s="56" t="e">
        <f t="shared" si="0"/>
        <v>#N/A</v>
      </c>
      <c r="R40" s="56" t="e">
        <f>IF(Q40&gt;1%,(R39-(R39*Q40)),Q40)</f>
        <v>#N/A</v>
      </c>
      <c r="S40" s="183" t="e">
        <f>IF(R41&gt;1%,R41,R40)</f>
        <v>#N/A</v>
      </c>
      <c r="T40" s="174"/>
      <c r="U40" s="196"/>
    </row>
    <row r="41" spans="1:23" s="60" customFormat="1" ht="14.25" hidden="1" x14ac:dyDescent="0.2">
      <c r="B41" s="238"/>
      <c r="C41" s="238"/>
      <c r="D41" s="178"/>
      <c r="E41" s="171"/>
      <c r="F41" s="176"/>
      <c r="G41" s="59" t="s">
        <v>144</v>
      </c>
      <c r="H41" s="57"/>
      <c r="I41" s="58" t="e">
        <f>VLOOKUP(H41,Criterios!$B$3:$C$6,2,FALSE)</f>
        <v>#N/A</v>
      </c>
      <c r="J41" s="57"/>
      <c r="K41" s="58" t="e">
        <f>VLOOKUP(J41,Criterios!$B$7:$C$9,2,FALSE)</f>
        <v>#N/A</v>
      </c>
      <c r="L41" s="57"/>
      <c r="M41" s="57"/>
      <c r="N41" s="57"/>
      <c r="O41" s="57"/>
      <c r="P41" s="57"/>
      <c r="Q41" s="56" t="e">
        <f t="shared" si="0"/>
        <v>#N/A</v>
      </c>
      <c r="R41" s="56" t="e">
        <f>(R40-(R40*Q41))</f>
        <v>#N/A</v>
      </c>
      <c r="S41" s="183"/>
      <c r="T41" s="174"/>
      <c r="U41" s="196"/>
    </row>
    <row r="42" spans="1:23" s="60" customFormat="1" ht="14.25" hidden="1" x14ac:dyDescent="0.2">
      <c r="B42" s="238"/>
      <c r="C42" s="238"/>
      <c r="D42" s="178"/>
      <c r="E42" s="171"/>
      <c r="F42" s="198" t="s">
        <v>141</v>
      </c>
      <c r="G42" s="55" t="s">
        <v>145</v>
      </c>
      <c r="H42" s="53"/>
      <c r="I42" s="54" t="e">
        <f>VLOOKUP(H42,Criterios!$B$3:$C$6,2,FALSE)</f>
        <v>#N/A</v>
      </c>
      <c r="J42" s="53"/>
      <c r="K42" s="54" t="e">
        <f>VLOOKUP(J42,Criterios!$B$7:$C$9,2,FALSE)</f>
        <v>#N/A</v>
      </c>
      <c r="L42" s="53"/>
      <c r="M42" s="53"/>
      <c r="N42" s="53"/>
      <c r="O42" s="53"/>
      <c r="P42" s="53"/>
      <c r="Q42" s="52" t="e">
        <f t="shared" si="0"/>
        <v>#N/A</v>
      </c>
      <c r="R42" s="52" t="e">
        <f>IF(Q42&gt;1%,(R41-(R41*Q42)),Q42)</f>
        <v>#N/A</v>
      </c>
      <c r="S42" s="188" t="e">
        <f>IF(R43&gt;1%,R43,R42)</f>
        <v>#N/A</v>
      </c>
      <c r="T42" s="174"/>
      <c r="U42" s="196"/>
    </row>
    <row r="43" spans="1:23" s="60" customFormat="1" ht="14.25" hidden="1" x14ac:dyDescent="0.2">
      <c r="B43" s="239"/>
      <c r="C43" s="239"/>
      <c r="D43" s="179"/>
      <c r="E43" s="172"/>
      <c r="F43" s="199"/>
      <c r="G43" s="51" t="s">
        <v>144</v>
      </c>
      <c r="H43" s="49"/>
      <c r="I43" s="50" t="e">
        <f>VLOOKUP(H43,Criterios!$B$3:$C$6,2,FALSE)</f>
        <v>#N/A</v>
      </c>
      <c r="J43" s="49"/>
      <c r="K43" s="50" t="e">
        <f>VLOOKUP(J43,Criterios!$B$7:$C$9,2,FALSE)</f>
        <v>#N/A</v>
      </c>
      <c r="L43" s="49"/>
      <c r="M43" s="49"/>
      <c r="N43" s="49"/>
      <c r="O43" s="49"/>
      <c r="P43" s="49"/>
      <c r="Q43" s="48" t="e">
        <f t="shared" si="0"/>
        <v>#N/A</v>
      </c>
      <c r="R43" s="48" t="e">
        <f>IF(Q43&gt;1%,(R42-(R42*Q43)),Q43)</f>
        <v>#N/A</v>
      </c>
      <c r="S43" s="189"/>
      <c r="T43" s="175"/>
      <c r="U43" s="197"/>
    </row>
    <row r="44" spans="1:23" ht="15" x14ac:dyDescent="0.2">
      <c r="A44" s="46"/>
      <c r="B44" s="45"/>
      <c r="C44" s="45"/>
      <c r="D44" s="45"/>
      <c r="E44" s="45"/>
      <c r="F44" s="45"/>
      <c r="G44" s="45"/>
      <c r="J44" s="42"/>
      <c r="K44" s="42"/>
      <c r="L44" s="42"/>
      <c r="M44" s="42"/>
      <c r="N44" s="42"/>
      <c r="O44" s="42"/>
      <c r="P44" s="42"/>
      <c r="Q44" s="42"/>
      <c r="R44" s="42"/>
      <c r="S44" s="42"/>
      <c r="T44" s="42"/>
      <c r="U44" s="42"/>
    </row>
    <row r="45" spans="1:23" ht="4.5" customHeight="1" x14ac:dyDescent="0.2">
      <c r="A45" s="46"/>
      <c r="B45" s="71"/>
      <c r="C45" s="71"/>
      <c r="D45" s="42"/>
      <c r="E45" s="42"/>
      <c r="F45" s="42"/>
      <c r="G45" s="45"/>
      <c r="H45" s="71"/>
      <c r="I45" s="71"/>
      <c r="J45" s="71"/>
      <c r="K45" s="71"/>
      <c r="L45" s="71"/>
      <c r="M45" s="42"/>
      <c r="N45" s="42"/>
      <c r="O45" s="42"/>
      <c r="P45" s="42"/>
      <c r="Q45" s="42"/>
      <c r="R45" s="42"/>
      <c r="S45" s="42"/>
      <c r="T45" s="42"/>
      <c r="U45" s="42"/>
    </row>
    <row r="46" spans="1:23" ht="6.75" customHeight="1" x14ac:dyDescent="0.2">
      <c r="A46" s="46"/>
      <c r="B46" s="45"/>
      <c r="C46" s="45"/>
      <c r="D46" s="45"/>
      <c r="E46" s="45"/>
      <c r="F46" s="45"/>
      <c r="G46" s="45"/>
      <c r="J46" s="42"/>
      <c r="K46" s="42"/>
      <c r="L46" s="42"/>
      <c r="M46" s="42"/>
      <c r="N46" s="42"/>
      <c r="O46" s="42"/>
      <c r="P46" s="42"/>
      <c r="Q46" s="42"/>
      <c r="R46" s="42"/>
      <c r="S46" s="42"/>
      <c r="T46" s="42"/>
      <c r="U46" s="42"/>
    </row>
    <row r="47" spans="1:23" ht="16.5" customHeight="1" x14ac:dyDescent="0.2">
      <c r="A47" s="46"/>
      <c r="B47" s="190" t="s">
        <v>147</v>
      </c>
      <c r="C47" s="190"/>
      <c r="D47" s="190"/>
      <c r="E47" s="190"/>
      <c r="F47" s="190"/>
      <c r="G47" s="190"/>
      <c r="H47" s="190"/>
      <c r="I47" s="190"/>
      <c r="J47" s="190"/>
      <c r="K47" s="190"/>
      <c r="L47" s="190"/>
      <c r="M47" s="190"/>
      <c r="N47" s="190"/>
      <c r="O47" s="190"/>
      <c r="P47" s="190"/>
      <c r="Q47" s="190"/>
      <c r="R47" s="190"/>
      <c r="S47" s="190"/>
      <c r="T47" s="190"/>
      <c r="U47" s="190"/>
      <c r="V47" s="190"/>
      <c r="W47" s="190"/>
    </row>
    <row r="48" spans="1:23" ht="15" x14ac:dyDescent="0.2">
      <c r="A48" s="46"/>
      <c r="B48" s="70"/>
      <c r="C48" s="70"/>
      <c r="D48" s="69"/>
      <c r="E48" s="69"/>
      <c r="F48" s="69"/>
      <c r="H48" s="71"/>
      <c r="I48" s="71"/>
      <c r="J48" s="71"/>
      <c r="K48" s="71"/>
      <c r="L48" s="71"/>
    </row>
    <row r="49" spans="1:23" ht="15" customHeight="1" x14ac:dyDescent="0.2">
      <c r="A49" s="46"/>
      <c r="B49" s="191" t="s">
        <v>104</v>
      </c>
      <c r="C49" s="192"/>
      <c r="D49" s="193">
        <v>45761</v>
      </c>
      <c r="E49" s="194"/>
      <c r="F49" s="71" t="s">
        <v>105</v>
      </c>
      <c r="G49" s="221" t="s">
        <v>106</v>
      </c>
      <c r="H49" s="222"/>
      <c r="I49" s="240" t="s">
        <v>148</v>
      </c>
      <c r="J49" s="191"/>
      <c r="K49" s="191"/>
      <c r="L49" s="191"/>
      <c r="M49" s="192"/>
      <c r="N49" s="194" t="s">
        <v>149</v>
      </c>
      <c r="O49" s="194"/>
      <c r="P49" s="194"/>
      <c r="Q49" s="194"/>
      <c r="R49" s="194"/>
      <c r="T49" s="42"/>
      <c r="U49" s="42"/>
    </row>
    <row r="50" spans="1:23" ht="15" x14ac:dyDescent="0.2">
      <c r="A50" s="46"/>
      <c r="B50" s="70"/>
      <c r="C50" s="70"/>
      <c r="D50" s="69"/>
      <c r="E50" s="69"/>
      <c r="F50" s="69"/>
      <c r="H50" s="220"/>
      <c r="I50" s="220"/>
      <c r="J50" s="220"/>
      <c r="K50" s="220"/>
      <c r="L50" s="220"/>
    </row>
    <row r="51" spans="1:23" s="66" customFormat="1" ht="28.5" customHeight="1" x14ac:dyDescent="0.25">
      <c r="B51" s="212" t="s">
        <v>109</v>
      </c>
      <c r="C51" s="212" t="s">
        <v>110</v>
      </c>
      <c r="D51" s="212" t="s">
        <v>111</v>
      </c>
      <c r="E51" s="212"/>
      <c r="F51" s="213" t="s">
        <v>112</v>
      </c>
      <c r="G51" s="212" t="s">
        <v>113</v>
      </c>
      <c r="H51" s="228" t="s">
        <v>114</v>
      </c>
      <c r="I51" s="229"/>
      <c r="J51" s="229"/>
      <c r="K51" s="229"/>
      <c r="L51" s="229"/>
      <c r="M51" s="229"/>
      <c r="N51" s="229"/>
      <c r="O51" s="229"/>
      <c r="P51" s="230"/>
      <c r="Q51" s="227" t="s">
        <v>115</v>
      </c>
      <c r="R51" s="227"/>
      <c r="S51" s="227"/>
      <c r="T51" s="227"/>
      <c r="U51" s="211" t="s">
        <v>116</v>
      </c>
      <c r="V51" s="223" t="s">
        <v>150</v>
      </c>
      <c r="W51" s="72"/>
    </row>
    <row r="52" spans="1:23" s="66" customFormat="1" ht="21.75" customHeight="1" x14ac:dyDescent="0.25">
      <c r="B52" s="212"/>
      <c r="C52" s="212"/>
      <c r="D52" s="212"/>
      <c r="E52" s="212"/>
      <c r="F52" s="214"/>
      <c r="G52" s="212"/>
      <c r="H52" s="228" t="s">
        <v>117</v>
      </c>
      <c r="I52" s="229"/>
      <c r="J52" s="229"/>
      <c r="K52" s="230"/>
      <c r="L52" s="228" t="s">
        <v>118</v>
      </c>
      <c r="M52" s="229"/>
      <c r="N52" s="229"/>
      <c r="O52" s="229"/>
      <c r="P52" s="230"/>
      <c r="Q52" s="185" t="s">
        <v>119</v>
      </c>
      <c r="R52" s="185" t="s">
        <v>120</v>
      </c>
      <c r="S52" s="185" t="s">
        <v>121</v>
      </c>
      <c r="T52" s="216" t="s">
        <v>122</v>
      </c>
      <c r="U52" s="211" t="s">
        <v>123</v>
      </c>
      <c r="V52" s="223"/>
      <c r="W52" s="72"/>
    </row>
    <row r="53" spans="1:23" s="66" customFormat="1" ht="63.75" x14ac:dyDescent="0.25">
      <c r="B53" s="212"/>
      <c r="C53" s="212"/>
      <c r="D53" s="67" t="s">
        <v>124</v>
      </c>
      <c r="E53" s="67" t="s">
        <v>36</v>
      </c>
      <c r="F53" s="215"/>
      <c r="G53" s="212"/>
      <c r="H53" s="67" t="s">
        <v>125</v>
      </c>
      <c r="I53" s="67" t="s">
        <v>126</v>
      </c>
      <c r="J53" s="67" t="s">
        <v>127</v>
      </c>
      <c r="K53" s="67" t="s">
        <v>126</v>
      </c>
      <c r="L53" s="67" t="s">
        <v>128</v>
      </c>
      <c r="M53" s="68" t="s">
        <v>38</v>
      </c>
      <c r="N53" s="68" t="s">
        <v>129</v>
      </c>
      <c r="O53" s="68" t="s">
        <v>130</v>
      </c>
      <c r="P53" s="67" t="s">
        <v>131</v>
      </c>
      <c r="Q53" s="186"/>
      <c r="R53" s="186"/>
      <c r="S53" s="186"/>
      <c r="T53" s="217"/>
      <c r="U53" s="211"/>
      <c r="V53" s="223"/>
      <c r="W53" s="72"/>
    </row>
    <row r="54" spans="1:23" s="60" customFormat="1" ht="114.6" customHeight="1" x14ac:dyDescent="0.2">
      <c r="B54" s="177" t="s">
        <v>52</v>
      </c>
      <c r="C54" s="224" t="s">
        <v>54</v>
      </c>
      <c r="D54" s="177" t="s">
        <v>132</v>
      </c>
      <c r="E54" s="170">
        <f>VLOOKUP(D54,Criterios!$A$20:$B$24,2,FALSE)</f>
        <v>0.6</v>
      </c>
      <c r="F54" s="200" t="str">
        <f>+F14</f>
        <v>1. Falta de seguimiento a la adecuada administración de los bienes y prestación de servicios de apoyo en unidades operativas de la entidad.</v>
      </c>
      <c r="G54" s="87" t="str">
        <f>+G14</f>
        <v>1. Mensualmente, el equipo de apoyo logístico asignado por el (la) Subdirector(a) Administrativo(a) y Financiero(a) es el responsable de planificar y gestionar visitas en sitio a las diferentes unidades operativas de la Entidad, con el fin de verificar la adecuada administración de los bienes y prestación de los servicios de apoyo, identificar necesidades y otras novedades.
Como evidencia se encuentra herramienta Microsoft forms, con las listas de chequeo diligenciadas en el proceso de verificación.</v>
      </c>
      <c r="H54" s="63" t="s">
        <v>133</v>
      </c>
      <c r="I54" s="64">
        <f>VLOOKUP(H54,Criterios!$B$3:$C$6,2,FALSE)</f>
        <v>0.25</v>
      </c>
      <c r="J54" s="63" t="s">
        <v>61</v>
      </c>
      <c r="K54" s="64">
        <f>VLOOKUP(J54,Criterios!$B$7:$C$9,2,FALSE)</f>
        <v>0.15</v>
      </c>
      <c r="L54" s="63" t="s">
        <v>134</v>
      </c>
      <c r="M54" s="63" t="s">
        <v>135</v>
      </c>
      <c r="N54" s="63" t="s">
        <v>136</v>
      </c>
      <c r="O54" s="63" t="s">
        <v>137</v>
      </c>
      <c r="P54" s="63" t="s">
        <v>138</v>
      </c>
      <c r="Q54" s="62">
        <f t="shared" ref="Q54:Q65" si="1">+I54+K54</f>
        <v>0.4</v>
      </c>
      <c r="R54" s="62">
        <f>(E54-(E54*Q54))</f>
        <v>0.36</v>
      </c>
      <c r="S54" s="182">
        <f>IF(R55&gt;1%,R55,R54)</f>
        <v>0.36</v>
      </c>
      <c r="T54" s="173">
        <f>IF(S58&gt;1%,S58,(IF(S56&gt;1%,S56,S54)))</f>
        <v>0.216</v>
      </c>
      <c r="U54" s="195" t="str">
        <f>IF(T54&lt;=20%,Criterios!$A$20,IF(T54&lt;=40%,Criterios!$A$21,IF(T54&lt;=60%,Criterios!$A$22,IF(T54&lt;=80,Criterios!$A$23,Criterios!$A$24))))</f>
        <v>Baja</v>
      </c>
      <c r="V54" s="93" t="s">
        <v>151</v>
      </c>
    </row>
    <row r="55" spans="1:23" s="60" customFormat="1" ht="14.25" x14ac:dyDescent="0.2">
      <c r="B55" s="178"/>
      <c r="C55" s="225"/>
      <c r="D55" s="178"/>
      <c r="E55" s="171"/>
      <c r="F55" s="201"/>
      <c r="G55" s="88" t="s">
        <v>139</v>
      </c>
      <c r="H55" s="57" t="s">
        <v>140</v>
      </c>
      <c r="I55" s="58">
        <f>VLOOKUP(H55,Criterios!$B$3:$C$6,2,FALSE)</f>
        <v>0</v>
      </c>
      <c r="J55" s="57" t="s">
        <v>140</v>
      </c>
      <c r="K55" s="58">
        <f>VLOOKUP(J55,Criterios!$B$7:$C$9,2,FALSE)</f>
        <v>0</v>
      </c>
      <c r="L55" s="57"/>
      <c r="M55" s="57"/>
      <c r="N55" s="57"/>
      <c r="O55" s="57"/>
      <c r="P55" s="57"/>
      <c r="Q55" s="56">
        <f t="shared" si="1"/>
        <v>0</v>
      </c>
      <c r="R55" s="56">
        <f>(R54-(R54*Q55))</f>
        <v>0.36</v>
      </c>
      <c r="S55" s="183"/>
      <c r="T55" s="174"/>
      <c r="U55" s="196"/>
      <c r="V55" s="61"/>
    </row>
    <row r="56" spans="1:23" s="60" customFormat="1" ht="150.75" customHeight="1" x14ac:dyDescent="0.2">
      <c r="B56" s="178"/>
      <c r="C56" s="225"/>
      <c r="D56" s="178"/>
      <c r="E56" s="171"/>
      <c r="F56" s="201" t="str">
        <f>+F16</f>
        <v>2. Baja sistematización y herramientas que permitan administrar la información generada como producto de la ejecución de los servicios de apoyo.</v>
      </c>
      <c r="G56" s="88" t="str">
        <f>+G16</f>
        <v>2.  Mensualmente el equipo de inventarios asignado por el Subdirector(a) Administrativo(a) y Financiero(a) es el responsable de planificar y gestionar las pruebas representativas o toma física de inventarios, de los bienes, muebles y equipos que se encuentran bajo la custodia y responsabilidad de los funcionarios  y contratistas de la Secretaria Distrital de Integración Social, de acuerdo a las solicitudes allegadas con el  objetivo de administrar y controlar los bienes de inventarios de toda la Entidad.
Como evidencia se cuentan con los Formato Prueba representativa de inventario de bienes (FOR-GL-044) y/o Formato Planilla física toma de inventario (FOR-GL-002), diligenciados en el periodo.</v>
      </c>
      <c r="H56" s="57" t="s">
        <v>133</v>
      </c>
      <c r="I56" s="58">
        <f>VLOOKUP(H56,Criterios!$B$3:$C$6,2,FALSE)</f>
        <v>0.25</v>
      </c>
      <c r="J56" s="57" t="s">
        <v>61</v>
      </c>
      <c r="K56" s="58">
        <f>VLOOKUP(J56,Criterios!$B$7:$C$9,2,FALSE)</f>
        <v>0.15</v>
      </c>
      <c r="L56" s="57" t="s">
        <v>134</v>
      </c>
      <c r="M56" s="57" t="s">
        <v>135</v>
      </c>
      <c r="N56" s="57" t="s">
        <v>136</v>
      </c>
      <c r="O56" s="57" t="s">
        <v>137</v>
      </c>
      <c r="P56" s="57" t="s">
        <v>138</v>
      </c>
      <c r="Q56" s="56">
        <f t="shared" si="1"/>
        <v>0.4</v>
      </c>
      <c r="R56" s="56">
        <f>IF(Q56&gt;1%,(R55-(R55*Q56)),Q56)</f>
        <v>0.216</v>
      </c>
      <c r="S56" s="183">
        <f>IF(R57&gt;1%,R57,R56)</f>
        <v>0.216</v>
      </c>
      <c r="T56" s="174"/>
      <c r="U56" s="196"/>
      <c r="V56" s="93" t="s">
        <v>152</v>
      </c>
    </row>
    <row r="57" spans="1:23" s="60" customFormat="1" ht="14.25" x14ac:dyDescent="0.2">
      <c r="B57" s="178"/>
      <c r="C57" s="225"/>
      <c r="D57" s="178"/>
      <c r="E57" s="171"/>
      <c r="F57" s="201"/>
      <c r="G57" s="88" t="s">
        <v>139</v>
      </c>
      <c r="H57" s="57" t="s">
        <v>140</v>
      </c>
      <c r="I57" s="58">
        <f>VLOOKUP(H57,Criterios!$B$3:$C$6,2,FALSE)</f>
        <v>0</v>
      </c>
      <c r="J57" s="57" t="s">
        <v>140</v>
      </c>
      <c r="K57" s="58">
        <f>VLOOKUP(J57,Criterios!$B$7:$C$9,2,FALSE)</f>
        <v>0</v>
      </c>
      <c r="L57" s="57"/>
      <c r="M57" s="57"/>
      <c r="N57" s="57"/>
      <c r="O57" s="57"/>
      <c r="P57" s="57"/>
      <c r="Q57" s="56">
        <f t="shared" si="1"/>
        <v>0</v>
      </c>
      <c r="R57" s="56">
        <f>(R56-(R56*Q57))</f>
        <v>0.216</v>
      </c>
      <c r="S57" s="183"/>
      <c r="T57" s="174"/>
      <c r="U57" s="196"/>
      <c r="V57" s="61"/>
    </row>
    <row r="58" spans="1:23" s="60" customFormat="1" ht="14.25" x14ac:dyDescent="0.2">
      <c r="B58" s="178"/>
      <c r="C58" s="225"/>
      <c r="D58" s="178"/>
      <c r="E58" s="171"/>
      <c r="F58" s="198" t="s">
        <v>141</v>
      </c>
      <c r="G58" s="55" t="s">
        <v>145</v>
      </c>
      <c r="H58" s="57" t="s">
        <v>140</v>
      </c>
      <c r="I58" s="58">
        <f>VLOOKUP(H58,Criterios!$B$3:$C$6,2,FALSE)</f>
        <v>0</v>
      </c>
      <c r="J58" s="57" t="s">
        <v>140</v>
      </c>
      <c r="K58" s="54">
        <f>VLOOKUP(J58,Criterios!$B$7:$C$9,2,FALSE)</f>
        <v>0</v>
      </c>
      <c r="L58" s="53"/>
      <c r="M58" s="53"/>
      <c r="N58" s="53"/>
      <c r="O58" s="53"/>
      <c r="P58" s="53"/>
      <c r="Q58" s="52">
        <f t="shared" si="1"/>
        <v>0</v>
      </c>
      <c r="R58" s="52">
        <f>IF(Q58&gt;1%,(R57-(R57*Q58)),Q58)</f>
        <v>0</v>
      </c>
      <c r="S58" s="188">
        <f>IF(R59&gt;1%,R59,R58)</f>
        <v>0</v>
      </c>
      <c r="T58" s="174"/>
      <c r="U58" s="196"/>
      <c r="V58" s="61"/>
    </row>
    <row r="59" spans="1:23" s="60" customFormat="1" ht="14.25" x14ac:dyDescent="0.2">
      <c r="B59" s="179"/>
      <c r="C59" s="226"/>
      <c r="D59" s="179"/>
      <c r="E59" s="172"/>
      <c r="F59" s="199"/>
      <c r="G59" s="51" t="s">
        <v>144</v>
      </c>
      <c r="H59" s="49" t="s">
        <v>140</v>
      </c>
      <c r="I59" s="50">
        <f>VLOOKUP(H59,Criterios!$B$3:$C$6,2,FALSE)</f>
        <v>0</v>
      </c>
      <c r="J59" s="49" t="s">
        <v>140</v>
      </c>
      <c r="K59" s="50">
        <f>VLOOKUP(J59,Criterios!$B$7:$C$9,2,FALSE)</f>
        <v>0</v>
      </c>
      <c r="L59" s="49"/>
      <c r="M59" s="49"/>
      <c r="N59" s="49"/>
      <c r="O59" s="49"/>
      <c r="P59" s="49"/>
      <c r="Q59" s="48">
        <f t="shared" si="1"/>
        <v>0</v>
      </c>
      <c r="R59" s="48">
        <f>IF(Q59&gt;1%,(R58-(R58*Q59)),Q59)</f>
        <v>0</v>
      </c>
      <c r="S59" s="189"/>
      <c r="T59" s="175"/>
      <c r="U59" s="197"/>
      <c r="V59" s="61"/>
    </row>
    <row r="60" spans="1:23" s="60" customFormat="1" ht="120" customHeight="1" x14ac:dyDescent="0.2">
      <c r="B60" s="177" t="s">
        <v>82</v>
      </c>
      <c r="C60" s="224" t="s">
        <v>84</v>
      </c>
      <c r="D60" s="177" t="s">
        <v>132</v>
      </c>
      <c r="E60" s="170">
        <f>VLOOKUP(D60,Criterios!$A$20:$B$24,2,FALSE)</f>
        <v>0.6</v>
      </c>
      <c r="F60" s="200" t="s">
        <v>83</v>
      </c>
      <c r="G60" s="87" t="str">
        <f>+G20</f>
        <v>1. Semestralmente el funcionario(a) o contratista asignado(a) por el Subdirector(a) Administrativo(a) y Financiero(a) realiza seguimiento a la gestión y el estado de los procesos de contratación de servicios de apoyo logístico, de acuerdo con el Plan Anual de Adquisiciones, generando las alertas tempranas al equipo de apoyo logístico, para garantizar la oportuna contratación de los servicios de apoyo.
Como evidencia, se encuentra el archivo en formato Excel con el estado actual de los procesos de contratación y las alertas tempranas generadas.</v>
      </c>
      <c r="H60" s="63" t="s">
        <v>133</v>
      </c>
      <c r="I60" s="64">
        <f>VLOOKUP(H60,Criterios!$B$3:$C$6,2,FALSE)</f>
        <v>0.25</v>
      </c>
      <c r="J60" s="63" t="s">
        <v>61</v>
      </c>
      <c r="K60" s="64">
        <f>VLOOKUP(J60,Criterios!$B$7:$C$9,2,FALSE)</f>
        <v>0.15</v>
      </c>
      <c r="L60" s="63" t="s">
        <v>134</v>
      </c>
      <c r="M60" s="63" t="s">
        <v>135</v>
      </c>
      <c r="N60" s="63" t="s">
        <v>136</v>
      </c>
      <c r="O60" s="63" t="s">
        <v>137</v>
      </c>
      <c r="P60" s="63" t="s">
        <v>138</v>
      </c>
      <c r="Q60" s="62">
        <f t="shared" si="1"/>
        <v>0.4</v>
      </c>
      <c r="R60" s="62">
        <f>(E60-(E60*Q60))</f>
        <v>0.36</v>
      </c>
      <c r="S60" s="182">
        <f>IF(R61&gt;1%,R61,R60)</f>
        <v>0.216</v>
      </c>
      <c r="T60" s="173">
        <f>IF(S64&gt;1%,S64,(IF(S62&gt;1%,S62,S60)))</f>
        <v>0.216</v>
      </c>
      <c r="U60" s="195" t="str">
        <f>IF(T60&lt;=20%,Criterios!$A$20,IF(T60&lt;=40%,Criterios!$A$21,IF(T60&lt;=60%,Criterios!$A$22,IF(T60&lt;=80,Criterios!$A$23,Criterios!$A$24))))</f>
        <v>Baja</v>
      </c>
      <c r="V60" s="93" t="s">
        <v>151</v>
      </c>
    </row>
    <row r="61" spans="1:23" s="46" customFormat="1" ht="188.25" customHeight="1" x14ac:dyDescent="0.2">
      <c r="B61" s="178"/>
      <c r="C61" s="225"/>
      <c r="D61" s="178"/>
      <c r="E61" s="171"/>
      <c r="F61" s="201"/>
      <c r="G61" s="88" t="str">
        <f>+G21</f>
        <v>2. Mensualmente el funcionario(a) o contratista delegado(a) por el Subdirector(a) Administrativo(a) y Financiero(a) solicita a la Subdirección de Plantas Físicas y Dirección de Análisis y Diseño Estratégico la base de datos actualizada con los predios que se encuentran bajo responsabilidad de las SDIS, adicionalmente, la Subdirección de Plantas Física realiza entrega de  las actas que contienen información de los predios que entran en funcionamiento y así mismo de los que dejan de funcionar (inclusión y exclusión de predios), con el propósito de actualizar oportunamente las bases de datos y realizar el pago masivo de los servicios públicos, para así prevenir el pago extemporáneo, la suspensión y sobrecostos  de los mismos.
Como evidencia se cuenta con las bases de datos de servicios públicos actualizadas, las  inclusiones y exclusiones presentadas en el periodo o correos electrónicos.</v>
      </c>
      <c r="H61" s="57" t="s">
        <v>133</v>
      </c>
      <c r="I61" s="58">
        <f>VLOOKUP(H61,Criterios!$B$3:$C$6,2,FALSE)</f>
        <v>0.25</v>
      </c>
      <c r="J61" s="57" t="s">
        <v>61</v>
      </c>
      <c r="K61" s="58">
        <f>VLOOKUP(J61,Criterios!$B$7:$C$9,2,FALSE)</f>
        <v>0.15</v>
      </c>
      <c r="L61" s="57" t="s">
        <v>134</v>
      </c>
      <c r="M61" s="57" t="s">
        <v>135</v>
      </c>
      <c r="N61" s="57" t="s">
        <v>136</v>
      </c>
      <c r="O61" s="57" t="s">
        <v>137</v>
      </c>
      <c r="P61" s="57" t="s">
        <v>138</v>
      </c>
      <c r="Q61" s="56">
        <f t="shared" si="1"/>
        <v>0.4</v>
      </c>
      <c r="R61" s="56">
        <f>(R60-(R60*Q61))</f>
        <v>0.216</v>
      </c>
      <c r="S61" s="183"/>
      <c r="T61" s="174"/>
      <c r="U61" s="196"/>
      <c r="V61" s="93" t="s">
        <v>151</v>
      </c>
    </row>
    <row r="62" spans="1:23" s="46" customFormat="1" ht="15" x14ac:dyDescent="0.2">
      <c r="B62" s="178"/>
      <c r="C62" s="225"/>
      <c r="D62" s="178"/>
      <c r="E62" s="171"/>
      <c r="F62" s="176" t="s">
        <v>139</v>
      </c>
      <c r="G62" s="59" t="s">
        <v>145</v>
      </c>
      <c r="H62" s="57" t="s">
        <v>140</v>
      </c>
      <c r="I62" s="58">
        <f>VLOOKUP(H62,Criterios!$B$3:$C$6,2,FALSE)</f>
        <v>0</v>
      </c>
      <c r="J62" s="57" t="s">
        <v>140</v>
      </c>
      <c r="K62" s="58">
        <f>VLOOKUP(J62,Criterios!$B$7:$C$9,2,FALSE)</f>
        <v>0</v>
      </c>
      <c r="L62" s="57"/>
      <c r="M62" s="57"/>
      <c r="N62" s="57"/>
      <c r="O62" s="57"/>
      <c r="P62" s="57"/>
      <c r="Q62" s="56">
        <f t="shared" si="1"/>
        <v>0</v>
      </c>
      <c r="R62" s="56">
        <f>IF(Q62&gt;1%,(R61-(R61*Q62)),Q62)</f>
        <v>0</v>
      </c>
      <c r="S62" s="183">
        <f>IF(R63&gt;1%,R63,R62)</f>
        <v>0</v>
      </c>
      <c r="T62" s="174"/>
      <c r="U62" s="196"/>
      <c r="V62" s="47"/>
    </row>
    <row r="63" spans="1:23" s="46" customFormat="1" ht="15" x14ac:dyDescent="0.2">
      <c r="B63" s="178"/>
      <c r="C63" s="225"/>
      <c r="D63" s="178"/>
      <c r="E63" s="171"/>
      <c r="F63" s="176"/>
      <c r="G63" s="59" t="s">
        <v>144</v>
      </c>
      <c r="H63" s="57" t="s">
        <v>140</v>
      </c>
      <c r="I63" s="58">
        <f>VLOOKUP(H63,Criterios!$B$3:$C$6,2,FALSE)</f>
        <v>0</v>
      </c>
      <c r="J63" s="57" t="s">
        <v>140</v>
      </c>
      <c r="K63" s="58">
        <f>VLOOKUP(J63,Criterios!$B$7:$C$9,2,FALSE)</f>
        <v>0</v>
      </c>
      <c r="L63" s="57"/>
      <c r="M63" s="57"/>
      <c r="N63" s="57"/>
      <c r="O63" s="57"/>
      <c r="P63" s="57"/>
      <c r="Q63" s="56">
        <f t="shared" si="1"/>
        <v>0</v>
      </c>
      <c r="R63" s="56">
        <f>(R62-(R62*Q63))</f>
        <v>0</v>
      </c>
      <c r="S63" s="183"/>
      <c r="T63" s="174"/>
      <c r="U63" s="196"/>
      <c r="V63" s="47"/>
    </row>
    <row r="64" spans="1:23" s="46" customFormat="1" ht="15" x14ac:dyDescent="0.2">
      <c r="B64" s="178"/>
      <c r="C64" s="225"/>
      <c r="D64" s="178"/>
      <c r="E64" s="171"/>
      <c r="F64" s="198" t="s">
        <v>141</v>
      </c>
      <c r="G64" s="55" t="s">
        <v>145</v>
      </c>
      <c r="H64" s="57" t="s">
        <v>140</v>
      </c>
      <c r="I64" s="58">
        <f>VLOOKUP(H64,Criterios!$B$3:$C$6,2,FALSE)</f>
        <v>0</v>
      </c>
      <c r="J64" s="57" t="s">
        <v>140</v>
      </c>
      <c r="K64" s="54">
        <f>VLOOKUP(J64,Criterios!$B$7:$C$9,2,FALSE)</f>
        <v>0</v>
      </c>
      <c r="L64" s="53"/>
      <c r="M64" s="53"/>
      <c r="N64" s="53"/>
      <c r="O64" s="53"/>
      <c r="P64" s="53"/>
      <c r="Q64" s="52">
        <f t="shared" si="1"/>
        <v>0</v>
      </c>
      <c r="R64" s="52">
        <f>IF(Q64&gt;1%,(R63-(R63*Q64)),Q64)</f>
        <v>0</v>
      </c>
      <c r="S64" s="188">
        <f>IF(R65&gt;1%,R65,R64)</f>
        <v>0</v>
      </c>
      <c r="T64" s="174"/>
      <c r="U64" s="196"/>
      <c r="V64" s="47"/>
    </row>
    <row r="65" spans="1:23" s="46" customFormat="1" ht="15" x14ac:dyDescent="0.2">
      <c r="B65" s="179"/>
      <c r="C65" s="226"/>
      <c r="D65" s="179"/>
      <c r="E65" s="172"/>
      <c r="F65" s="199"/>
      <c r="G65" s="51" t="s">
        <v>144</v>
      </c>
      <c r="H65" s="49" t="s">
        <v>140</v>
      </c>
      <c r="I65" s="50">
        <f>VLOOKUP(H65,Criterios!$B$3:$C$6,2,FALSE)</f>
        <v>0</v>
      </c>
      <c r="J65" s="49" t="s">
        <v>140</v>
      </c>
      <c r="K65" s="50">
        <f>VLOOKUP(J65,Criterios!$B$7:$C$9,2,FALSE)</f>
        <v>0</v>
      </c>
      <c r="L65" s="49"/>
      <c r="M65" s="49"/>
      <c r="N65" s="49"/>
      <c r="O65" s="49"/>
      <c r="P65" s="49"/>
      <c r="Q65" s="48">
        <f t="shared" si="1"/>
        <v>0</v>
      </c>
      <c r="R65" s="48">
        <f>IF(Q65&gt;1%,(R64-(R64*Q65)),Q65)</f>
        <v>0</v>
      </c>
      <c r="S65" s="189"/>
      <c r="T65" s="175"/>
      <c r="U65" s="197"/>
      <c r="V65" s="47"/>
    </row>
    <row r="66" spans="1:23" x14ac:dyDescent="0.2">
      <c r="B66" s="45"/>
      <c r="C66" s="45"/>
      <c r="D66" s="45"/>
      <c r="E66" s="45"/>
      <c r="F66" s="45"/>
      <c r="G66" s="45"/>
      <c r="J66" s="42"/>
      <c r="K66" s="42"/>
      <c r="L66" s="42"/>
      <c r="M66" s="42"/>
      <c r="N66" s="42"/>
      <c r="O66" s="42"/>
      <c r="P66" s="42"/>
      <c r="Q66" s="42"/>
      <c r="R66" s="42"/>
      <c r="S66" s="42"/>
      <c r="T66" s="44"/>
      <c r="U66" s="42"/>
    </row>
    <row r="67" spans="1:23" ht="5.25" customHeight="1" x14ac:dyDescent="0.2"/>
    <row r="69" spans="1:23" ht="6.75" customHeight="1" x14ac:dyDescent="0.2">
      <c r="A69" s="46"/>
      <c r="B69" s="45"/>
      <c r="C69" s="45"/>
      <c r="D69" s="45"/>
      <c r="E69" s="45"/>
      <c r="F69" s="45"/>
      <c r="G69" s="45"/>
      <c r="J69" s="42"/>
      <c r="K69" s="42"/>
      <c r="L69" s="42"/>
      <c r="M69" s="42"/>
      <c r="N69" s="42"/>
      <c r="O69" s="42"/>
      <c r="P69" s="42"/>
      <c r="Q69" s="42"/>
      <c r="R69" s="42"/>
      <c r="S69" s="42"/>
      <c r="T69" s="42"/>
      <c r="U69" s="42"/>
    </row>
    <row r="70" spans="1:23" ht="16.5" customHeight="1" x14ac:dyDescent="0.2">
      <c r="A70" s="46"/>
      <c r="B70" s="190" t="s">
        <v>153</v>
      </c>
      <c r="C70" s="190"/>
      <c r="D70" s="190"/>
      <c r="E70" s="190"/>
      <c r="F70" s="190"/>
      <c r="G70" s="190"/>
      <c r="H70" s="190"/>
      <c r="I70" s="190"/>
      <c r="J70" s="190"/>
      <c r="K70" s="190"/>
      <c r="L70" s="190"/>
      <c r="M70" s="190"/>
      <c r="N70" s="190"/>
      <c r="O70" s="190"/>
      <c r="P70" s="190"/>
      <c r="Q70" s="190"/>
      <c r="R70" s="190"/>
      <c r="S70" s="190"/>
      <c r="T70" s="190"/>
      <c r="U70" s="190"/>
      <c r="V70" s="190"/>
      <c r="W70" s="190"/>
    </row>
    <row r="71" spans="1:23" ht="15" x14ac:dyDescent="0.2">
      <c r="A71" s="46"/>
      <c r="B71" s="70"/>
      <c r="C71" s="70"/>
      <c r="D71" s="69"/>
      <c r="E71" s="69"/>
      <c r="F71" s="69"/>
      <c r="H71" s="71"/>
      <c r="I71" s="71"/>
      <c r="J71" s="71"/>
      <c r="K71" s="71"/>
      <c r="L71" s="71"/>
    </row>
    <row r="72" spans="1:23" ht="24.75" customHeight="1" x14ac:dyDescent="0.2">
      <c r="A72" s="46"/>
      <c r="B72" s="191" t="s">
        <v>104</v>
      </c>
      <c r="C72" s="192"/>
      <c r="D72" s="193">
        <v>45806</v>
      </c>
      <c r="E72" s="194"/>
      <c r="F72" s="71" t="s">
        <v>105</v>
      </c>
      <c r="G72" s="221" t="s">
        <v>106</v>
      </c>
      <c r="H72" s="222"/>
      <c r="I72" s="191" t="s">
        <v>154</v>
      </c>
      <c r="J72" s="191"/>
      <c r="K72" s="191"/>
      <c r="L72" s="192"/>
      <c r="M72" s="221" t="s">
        <v>155</v>
      </c>
      <c r="N72" s="241"/>
      <c r="O72" s="241"/>
      <c r="P72" s="241"/>
      <c r="Q72" s="222"/>
      <c r="T72" s="42"/>
      <c r="U72" s="42"/>
    </row>
    <row r="73" spans="1:23" ht="15" x14ac:dyDescent="0.2">
      <c r="A73" s="46"/>
      <c r="B73" s="70"/>
      <c r="C73" s="70"/>
      <c r="D73" s="69"/>
      <c r="E73" s="69"/>
      <c r="F73" s="69"/>
      <c r="H73" s="220"/>
      <c r="I73" s="220"/>
      <c r="J73" s="220"/>
      <c r="K73" s="220"/>
      <c r="L73" s="220"/>
    </row>
    <row r="74" spans="1:23" s="66" customFormat="1" ht="28.5" customHeight="1" x14ac:dyDescent="0.2">
      <c r="B74" s="212" t="s">
        <v>109</v>
      </c>
      <c r="C74" s="212" t="s">
        <v>110</v>
      </c>
      <c r="D74" s="212" t="s">
        <v>111</v>
      </c>
      <c r="E74" s="212"/>
      <c r="F74" s="213" t="s">
        <v>112</v>
      </c>
      <c r="G74" s="212" t="s">
        <v>113</v>
      </c>
      <c r="H74" s="228" t="s">
        <v>114</v>
      </c>
      <c r="I74" s="229"/>
      <c r="J74" s="229"/>
      <c r="K74" s="229"/>
      <c r="L74" s="229"/>
      <c r="M74" s="229"/>
      <c r="N74" s="229"/>
      <c r="O74" s="229"/>
      <c r="P74" s="230"/>
      <c r="Q74" s="227" t="s">
        <v>115</v>
      </c>
      <c r="R74" s="227"/>
      <c r="S74" s="227"/>
      <c r="T74" s="227"/>
      <c r="U74" s="211" t="s">
        <v>116</v>
      </c>
      <c r="V74" s="223" t="s">
        <v>150</v>
      </c>
      <c r="W74" s="223" t="s">
        <v>156</v>
      </c>
    </row>
    <row r="75" spans="1:23" s="66" customFormat="1" ht="21.75" customHeight="1" x14ac:dyDescent="0.2">
      <c r="B75" s="212"/>
      <c r="C75" s="212"/>
      <c r="D75" s="212"/>
      <c r="E75" s="212"/>
      <c r="F75" s="214"/>
      <c r="G75" s="212"/>
      <c r="H75" s="228" t="s">
        <v>117</v>
      </c>
      <c r="I75" s="229"/>
      <c r="J75" s="229"/>
      <c r="K75" s="230"/>
      <c r="L75" s="228" t="s">
        <v>118</v>
      </c>
      <c r="M75" s="229"/>
      <c r="N75" s="229"/>
      <c r="O75" s="229"/>
      <c r="P75" s="230"/>
      <c r="Q75" s="185" t="s">
        <v>119</v>
      </c>
      <c r="R75" s="185" t="s">
        <v>120</v>
      </c>
      <c r="S75" s="185" t="s">
        <v>121</v>
      </c>
      <c r="T75" s="216" t="s">
        <v>122</v>
      </c>
      <c r="U75" s="211" t="s">
        <v>123</v>
      </c>
      <c r="V75" s="223"/>
      <c r="W75" s="223"/>
    </row>
    <row r="76" spans="1:23" s="66" customFormat="1" ht="63.75" x14ac:dyDescent="0.2">
      <c r="B76" s="212"/>
      <c r="C76" s="212"/>
      <c r="D76" s="67" t="s">
        <v>124</v>
      </c>
      <c r="E76" s="67" t="s">
        <v>36</v>
      </c>
      <c r="F76" s="215"/>
      <c r="G76" s="212"/>
      <c r="H76" s="67" t="s">
        <v>125</v>
      </c>
      <c r="I76" s="67" t="s">
        <v>126</v>
      </c>
      <c r="J76" s="67" t="s">
        <v>127</v>
      </c>
      <c r="K76" s="67" t="s">
        <v>126</v>
      </c>
      <c r="L76" s="67" t="s">
        <v>128</v>
      </c>
      <c r="M76" s="68" t="s">
        <v>38</v>
      </c>
      <c r="N76" s="68" t="s">
        <v>129</v>
      </c>
      <c r="O76" s="68" t="s">
        <v>130</v>
      </c>
      <c r="P76" s="67" t="s">
        <v>131</v>
      </c>
      <c r="Q76" s="186"/>
      <c r="R76" s="186"/>
      <c r="S76" s="186"/>
      <c r="T76" s="217"/>
      <c r="U76" s="211"/>
      <c r="V76" s="223"/>
      <c r="W76" s="223"/>
    </row>
    <row r="77" spans="1:23" s="60" customFormat="1" ht="112.5" customHeight="1" x14ac:dyDescent="0.2">
      <c r="B77" s="177" t="s">
        <v>52</v>
      </c>
      <c r="C77" s="224" t="s">
        <v>54</v>
      </c>
      <c r="D77" s="177" t="s">
        <v>132</v>
      </c>
      <c r="E77" s="170">
        <f>VLOOKUP(D77,Criterios!$A$20:$B$24,2,FALSE)</f>
        <v>0.6</v>
      </c>
      <c r="F77" s="180" t="s">
        <v>53</v>
      </c>
      <c r="G77" s="87" t="s">
        <v>59</v>
      </c>
      <c r="H77" s="63" t="s">
        <v>133</v>
      </c>
      <c r="I77" s="64">
        <f>VLOOKUP(H77,Criterios!$B$3:$C$6,2,FALSE)</f>
        <v>0.25</v>
      </c>
      <c r="J77" s="63" t="s">
        <v>61</v>
      </c>
      <c r="K77" s="64">
        <f>VLOOKUP(J77,Criterios!$B$7:$C$9,2,FALSE)</f>
        <v>0.15</v>
      </c>
      <c r="L77" s="63" t="s">
        <v>134</v>
      </c>
      <c r="M77" s="63" t="s">
        <v>135</v>
      </c>
      <c r="N77" s="63" t="s">
        <v>136</v>
      </c>
      <c r="O77" s="63" t="s">
        <v>137</v>
      </c>
      <c r="P77" s="63" t="s">
        <v>138</v>
      </c>
      <c r="Q77" s="62">
        <f t="shared" ref="Q77:Q88" si="2">+I77+K77</f>
        <v>0.4</v>
      </c>
      <c r="R77" s="62">
        <f>(E77-(E77*Q77))</f>
        <v>0.36</v>
      </c>
      <c r="S77" s="182">
        <f>IF(R78&gt;1%,R78,R77)</f>
        <v>0.36</v>
      </c>
      <c r="T77" s="173">
        <f>IF(S81&gt;1%,S81,(IF(S79&gt;1%,S79,S77)))</f>
        <v>0.216</v>
      </c>
      <c r="U77" s="195" t="str">
        <f>IF(T77&lt;=20%,Criterios!$A$20,IF(T77&lt;=40%,Criterios!$A$21,IF(T77&lt;=60%,Criterios!$A$22,IF(T77&lt;=80,Criterios!$A$23,Criterios!$A$24))))</f>
        <v>Baja</v>
      </c>
      <c r="V77" s="93" t="s">
        <v>157</v>
      </c>
      <c r="W77" s="93" t="s">
        <v>158</v>
      </c>
    </row>
    <row r="78" spans="1:23" s="60" customFormat="1" ht="14.25" x14ac:dyDescent="0.2">
      <c r="B78" s="178"/>
      <c r="C78" s="225"/>
      <c r="D78" s="178"/>
      <c r="E78" s="171"/>
      <c r="F78" s="181"/>
      <c r="G78" s="88" t="s">
        <v>139</v>
      </c>
      <c r="H78" s="57" t="s">
        <v>140</v>
      </c>
      <c r="I78" s="58">
        <f>VLOOKUP(H78,Criterios!$B$3:$C$6,2,FALSE)</f>
        <v>0</v>
      </c>
      <c r="J78" s="57" t="s">
        <v>140</v>
      </c>
      <c r="K78" s="58">
        <f>VLOOKUP(J78,Criterios!$B$7:$C$9,2,FALSE)</f>
        <v>0</v>
      </c>
      <c r="L78" s="57"/>
      <c r="M78" s="57"/>
      <c r="N78" s="57"/>
      <c r="O78" s="57"/>
      <c r="P78" s="57"/>
      <c r="Q78" s="56">
        <f t="shared" si="2"/>
        <v>0</v>
      </c>
      <c r="R78" s="56">
        <f>(R77-(R77*Q78))</f>
        <v>0.36</v>
      </c>
      <c r="S78" s="183"/>
      <c r="T78" s="174"/>
      <c r="U78" s="196"/>
      <c r="V78" s="93"/>
      <c r="W78" s="93"/>
    </row>
    <row r="79" spans="1:23" s="60" customFormat="1" ht="148.5" customHeight="1" x14ac:dyDescent="0.2">
      <c r="B79" s="178"/>
      <c r="C79" s="225"/>
      <c r="D79" s="178"/>
      <c r="E79" s="171"/>
      <c r="F79" s="184" t="s">
        <v>72</v>
      </c>
      <c r="G79" s="88" t="s">
        <v>73</v>
      </c>
      <c r="H79" s="57" t="s">
        <v>133</v>
      </c>
      <c r="I79" s="58">
        <f>VLOOKUP(H79,Criterios!$B$3:$C$6,2,FALSE)</f>
        <v>0.25</v>
      </c>
      <c r="J79" s="57" t="s">
        <v>61</v>
      </c>
      <c r="K79" s="58">
        <f>VLOOKUP(J79,Criterios!$B$7:$C$9,2,FALSE)</f>
        <v>0.15</v>
      </c>
      <c r="L79" s="57" t="s">
        <v>134</v>
      </c>
      <c r="M79" s="57" t="s">
        <v>135</v>
      </c>
      <c r="N79" s="57" t="s">
        <v>136</v>
      </c>
      <c r="O79" s="57" t="s">
        <v>137</v>
      </c>
      <c r="P79" s="57" t="s">
        <v>138</v>
      </c>
      <c r="Q79" s="56">
        <f t="shared" si="2"/>
        <v>0.4</v>
      </c>
      <c r="R79" s="56">
        <f>IF(Q79&gt;1%,(R78-(R78*Q79)),Q79)</f>
        <v>0.216</v>
      </c>
      <c r="S79" s="183">
        <f>IF(R80&gt;1%,R80,R79)</f>
        <v>0.216</v>
      </c>
      <c r="T79" s="174"/>
      <c r="U79" s="196"/>
      <c r="V79" s="93" t="s">
        <v>159</v>
      </c>
      <c r="W79" s="93" t="s">
        <v>158</v>
      </c>
    </row>
    <row r="80" spans="1:23" s="60" customFormat="1" ht="14.25" x14ac:dyDescent="0.2">
      <c r="B80" s="178"/>
      <c r="C80" s="225"/>
      <c r="D80" s="178"/>
      <c r="E80" s="171"/>
      <c r="F80" s="181"/>
      <c r="G80" s="88" t="s">
        <v>139</v>
      </c>
      <c r="H80" s="57" t="s">
        <v>140</v>
      </c>
      <c r="I80" s="58">
        <f>VLOOKUP(H80,Criterios!$B$3:$C$6,2,FALSE)</f>
        <v>0</v>
      </c>
      <c r="J80" s="57" t="s">
        <v>140</v>
      </c>
      <c r="K80" s="58">
        <f>VLOOKUP(J80,Criterios!$B$7:$C$9,2,FALSE)</f>
        <v>0</v>
      </c>
      <c r="L80" s="57"/>
      <c r="M80" s="57"/>
      <c r="N80" s="57"/>
      <c r="O80" s="57"/>
      <c r="P80" s="57"/>
      <c r="Q80" s="56">
        <f t="shared" si="2"/>
        <v>0</v>
      </c>
      <c r="R80" s="56">
        <f>(R79-(R79*Q80))</f>
        <v>0.216</v>
      </c>
      <c r="S80" s="183"/>
      <c r="T80" s="174"/>
      <c r="U80" s="196"/>
      <c r="V80" s="93"/>
      <c r="W80" s="93"/>
    </row>
    <row r="81" spans="2:23" s="60" customFormat="1" ht="14.25" x14ac:dyDescent="0.2">
      <c r="B81" s="178"/>
      <c r="C81" s="225"/>
      <c r="D81" s="178"/>
      <c r="E81" s="171"/>
      <c r="F81" s="184" t="s">
        <v>141</v>
      </c>
      <c r="G81" s="89" t="s">
        <v>145</v>
      </c>
      <c r="H81" s="53" t="s">
        <v>140</v>
      </c>
      <c r="I81" s="54">
        <f>VLOOKUP(H81,Criterios!$B$3:$C$6,2,FALSE)</f>
        <v>0</v>
      </c>
      <c r="J81" s="57" t="s">
        <v>140</v>
      </c>
      <c r="K81" s="54">
        <f>VLOOKUP(J81,Criterios!$B$7:$C$9,2,FALSE)</f>
        <v>0</v>
      </c>
      <c r="L81" s="53"/>
      <c r="M81" s="53"/>
      <c r="N81" s="53"/>
      <c r="O81" s="53"/>
      <c r="P81" s="53"/>
      <c r="Q81" s="52">
        <f t="shared" si="2"/>
        <v>0</v>
      </c>
      <c r="R81" s="52">
        <f>IF(Q81&gt;1%,(R80-(R80*Q81)),Q81)</f>
        <v>0</v>
      </c>
      <c r="S81" s="188">
        <f>IF(R82&gt;1%,R82,R81)</f>
        <v>0</v>
      </c>
      <c r="T81" s="174"/>
      <c r="U81" s="196"/>
      <c r="V81" s="93"/>
      <c r="W81" s="93"/>
    </row>
    <row r="82" spans="2:23" s="60" customFormat="1" ht="14.25" x14ac:dyDescent="0.2">
      <c r="B82" s="179"/>
      <c r="C82" s="226"/>
      <c r="D82" s="179"/>
      <c r="E82" s="172"/>
      <c r="F82" s="187"/>
      <c r="G82" s="90" t="s">
        <v>144</v>
      </c>
      <c r="H82" s="49" t="s">
        <v>140</v>
      </c>
      <c r="I82" s="50">
        <f>VLOOKUP(H82,Criterios!$B$3:$C$6,2,FALSE)</f>
        <v>0</v>
      </c>
      <c r="J82" s="49" t="s">
        <v>140</v>
      </c>
      <c r="K82" s="50">
        <f>VLOOKUP(J82,Criterios!$B$7:$C$9,2,FALSE)</f>
        <v>0</v>
      </c>
      <c r="L82" s="49"/>
      <c r="M82" s="49"/>
      <c r="N82" s="49"/>
      <c r="O82" s="49"/>
      <c r="P82" s="49"/>
      <c r="Q82" s="48">
        <f t="shared" si="2"/>
        <v>0</v>
      </c>
      <c r="R82" s="48">
        <f>IF(Q82&gt;1%,(R81-(R81*Q82)),Q82)</f>
        <v>0</v>
      </c>
      <c r="S82" s="189"/>
      <c r="T82" s="175"/>
      <c r="U82" s="197"/>
      <c r="V82" s="93"/>
      <c r="W82" s="93"/>
    </row>
    <row r="83" spans="2:23" s="60" customFormat="1" ht="113.25" customHeight="1" x14ac:dyDescent="0.2">
      <c r="B83" s="177" t="s">
        <v>82</v>
      </c>
      <c r="C83" s="224" t="s">
        <v>84</v>
      </c>
      <c r="D83" s="177" t="s">
        <v>132</v>
      </c>
      <c r="E83" s="170">
        <f>VLOOKUP(D83,Criterios!$A$20:$B$24,2,FALSE)</f>
        <v>0.6</v>
      </c>
      <c r="F83" s="180" t="s">
        <v>83</v>
      </c>
      <c r="G83" s="87" t="s">
        <v>86</v>
      </c>
      <c r="H83" s="63" t="s">
        <v>133</v>
      </c>
      <c r="I83" s="64">
        <f>VLOOKUP(H83,Criterios!$B$3:$C$6,2,FALSE)</f>
        <v>0.25</v>
      </c>
      <c r="J83" s="63" t="s">
        <v>61</v>
      </c>
      <c r="K83" s="64">
        <f>VLOOKUP(J83,Criterios!$B$7:$C$9,2,FALSE)</f>
        <v>0.15</v>
      </c>
      <c r="L83" s="63" t="s">
        <v>134</v>
      </c>
      <c r="M83" s="63" t="s">
        <v>135</v>
      </c>
      <c r="N83" s="63" t="s">
        <v>136</v>
      </c>
      <c r="O83" s="63" t="s">
        <v>137</v>
      </c>
      <c r="P83" s="63" t="s">
        <v>138</v>
      </c>
      <c r="Q83" s="62">
        <f t="shared" si="2"/>
        <v>0.4</v>
      </c>
      <c r="R83" s="62">
        <f>(E83-(E83*Q83))</f>
        <v>0.36</v>
      </c>
      <c r="S83" s="182">
        <f>IF(R84&gt;1%,R84,R83)</f>
        <v>0.216</v>
      </c>
      <c r="T83" s="173">
        <f>IF(S87&gt;1%,S87,(IF(S85&gt;1%,S85,S83)))</f>
        <v>0.216</v>
      </c>
      <c r="U83" s="195" t="str">
        <f>IF(T83&lt;=20%,Criterios!$A$20,IF(T83&lt;=40%,Criterios!$A$21,IF(T83&lt;=60%,Criterios!$A$22,IF(T83&lt;=80,Criterios!$A$23,Criterios!$A$24))))</f>
        <v>Baja</v>
      </c>
      <c r="V83" s="93" t="s">
        <v>157</v>
      </c>
      <c r="W83" s="93" t="s">
        <v>160</v>
      </c>
    </row>
    <row r="84" spans="2:23" s="46" customFormat="1" ht="192" customHeight="1" x14ac:dyDescent="0.2">
      <c r="B84" s="178"/>
      <c r="C84" s="225"/>
      <c r="D84" s="178"/>
      <c r="E84" s="171"/>
      <c r="F84" s="181"/>
      <c r="G84" s="88" t="s">
        <v>94</v>
      </c>
      <c r="H84" s="57" t="s">
        <v>133</v>
      </c>
      <c r="I84" s="58">
        <f>VLOOKUP(H84,Criterios!$B$3:$C$6,2,FALSE)</f>
        <v>0.25</v>
      </c>
      <c r="J84" s="57" t="s">
        <v>61</v>
      </c>
      <c r="K84" s="58">
        <f>VLOOKUP(J84,Criterios!$B$7:$C$9,2,FALSE)</f>
        <v>0.15</v>
      </c>
      <c r="L84" s="57" t="s">
        <v>134</v>
      </c>
      <c r="M84" s="57" t="s">
        <v>135</v>
      </c>
      <c r="N84" s="57" t="s">
        <v>136</v>
      </c>
      <c r="O84" s="57" t="s">
        <v>137</v>
      </c>
      <c r="P84" s="57" t="s">
        <v>138</v>
      </c>
      <c r="Q84" s="56">
        <f t="shared" si="2"/>
        <v>0.4</v>
      </c>
      <c r="R84" s="56">
        <f>(R83-(R83*Q84))</f>
        <v>0.216</v>
      </c>
      <c r="S84" s="183"/>
      <c r="T84" s="174"/>
      <c r="U84" s="196"/>
      <c r="V84" s="93" t="s">
        <v>157</v>
      </c>
      <c r="W84" s="93" t="s">
        <v>160</v>
      </c>
    </row>
    <row r="85" spans="2:23" s="46" customFormat="1" ht="15" x14ac:dyDescent="0.2">
      <c r="B85" s="178"/>
      <c r="C85" s="225"/>
      <c r="D85" s="178"/>
      <c r="E85" s="171"/>
      <c r="F85" s="176" t="s">
        <v>139</v>
      </c>
      <c r="G85" s="59" t="s">
        <v>145</v>
      </c>
      <c r="H85" s="57" t="s">
        <v>140</v>
      </c>
      <c r="I85" s="58">
        <f>VLOOKUP(H85,Criterios!$B$3:$C$6,2,FALSE)</f>
        <v>0</v>
      </c>
      <c r="J85" s="57" t="s">
        <v>140</v>
      </c>
      <c r="K85" s="58">
        <f>VLOOKUP(J85,Criterios!$B$7:$C$9,2,FALSE)</f>
        <v>0</v>
      </c>
      <c r="L85" s="57"/>
      <c r="M85" s="57"/>
      <c r="N85" s="57"/>
      <c r="O85" s="57"/>
      <c r="P85" s="57"/>
      <c r="Q85" s="56">
        <f t="shared" si="2"/>
        <v>0</v>
      </c>
      <c r="R85" s="56">
        <f>IF(Q85&gt;1%,(R84-(R84*Q85)),Q85)</f>
        <v>0</v>
      </c>
      <c r="S85" s="183">
        <f>IF(R86&gt;1%,R86,R85)</f>
        <v>0</v>
      </c>
      <c r="T85" s="174"/>
      <c r="U85" s="196"/>
      <c r="V85" s="47"/>
      <c r="W85" s="47"/>
    </row>
    <row r="86" spans="2:23" s="46" customFormat="1" ht="15" x14ac:dyDescent="0.2">
      <c r="B86" s="178"/>
      <c r="C86" s="225"/>
      <c r="D86" s="178"/>
      <c r="E86" s="171"/>
      <c r="F86" s="176"/>
      <c r="G86" s="59" t="s">
        <v>144</v>
      </c>
      <c r="H86" s="57" t="s">
        <v>140</v>
      </c>
      <c r="I86" s="58">
        <f>VLOOKUP(H86,Criterios!$B$3:$C$6,2,FALSE)</f>
        <v>0</v>
      </c>
      <c r="J86" s="57" t="s">
        <v>140</v>
      </c>
      <c r="K86" s="58">
        <f>VLOOKUP(J86,Criterios!$B$7:$C$9,2,FALSE)</f>
        <v>0</v>
      </c>
      <c r="L86" s="57"/>
      <c r="M86" s="57"/>
      <c r="N86" s="57"/>
      <c r="O86" s="57"/>
      <c r="P86" s="57"/>
      <c r="Q86" s="56">
        <f t="shared" si="2"/>
        <v>0</v>
      </c>
      <c r="R86" s="56">
        <f>(R85-(R85*Q86))</f>
        <v>0</v>
      </c>
      <c r="S86" s="183"/>
      <c r="T86" s="174"/>
      <c r="U86" s="196"/>
      <c r="V86" s="47"/>
      <c r="W86" s="47"/>
    </row>
    <row r="87" spans="2:23" s="46" customFormat="1" ht="15" x14ac:dyDescent="0.2">
      <c r="B87" s="178"/>
      <c r="C87" s="225"/>
      <c r="D87" s="178"/>
      <c r="E87" s="171"/>
      <c r="F87" s="198" t="s">
        <v>141</v>
      </c>
      <c r="G87" s="55" t="s">
        <v>145</v>
      </c>
      <c r="H87" s="53" t="s">
        <v>140</v>
      </c>
      <c r="I87" s="54">
        <f>VLOOKUP(H87,Criterios!$B$3:$C$6,2,FALSE)</f>
        <v>0</v>
      </c>
      <c r="J87" s="53" t="s">
        <v>140</v>
      </c>
      <c r="K87" s="54">
        <f>VLOOKUP(J87,Criterios!$B$7:$C$9,2,FALSE)</f>
        <v>0</v>
      </c>
      <c r="L87" s="53"/>
      <c r="M87" s="53"/>
      <c r="N87" s="53"/>
      <c r="O87" s="53"/>
      <c r="P87" s="53"/>
      <c r="Q87" s="52">
        <f t="shared" si="2"/>
        <v>0</v>
      </c>
      <c r="R87" s="52">
        <f>IF(Q87&gt;1%,(R86-(R86*Q87)),Q87)</f>
        <v>0</v>
      </c>
      <c r="S87" s="188">
        <f>IF(R88&gt;1%,R88,R87)</f>
        <v>0</v>
      </c>
      <c r="T87" s="174"/>
      <c r="U87" s="196"/>
      <c r="V87" s="47"/>
      <c r="W87" s="47"/>
    </row>
    <row r="88" spans="2:23" s="46" customFormat="1" ht="15" x14ac:dyDescent="0.2">
      <c r="B88" s="179"/>
      <c r="C88" s="226"/>
      <c r="D88" s="179"/>
      <c r="E88" s="172"/>
      <c r="F88" s="199"/>
      <c r="G88" s="51" t="s">
        <v>144</v>
      </c>
      <c r="H88" s="49" t="s">
        <v>140</v>
      </c>
      <c r="I88" s="50">
        <f>VLOOKUP(H88,Criterios!$B$3:$C$6,2,FALSE)</f>
        <v>0</v>
      </c>
      <c r="J88" s="49" t="s">
        <v>140</v>
      </c>
      <c r="K88" s="50">
        <f>VLOOKUP(J88,Criterios!$B$7:$C$9,2,FALSE)</f>
        <v>0</v>
      </c>
      <c r="L88" s="49"/>
      <c r="M88" s="49"/>
      <c r="N88" s="49"/>
      <c r="O88" s="49"/>
      <c r="P88" s="49"/>
      <c r="Q88" s="48">
        <f t="shared" si="2"/>
        <v>0</v>
      </c>
      <c r="R88" s="48">
        <f>IF(Q88&gt;1%,(R87-(R87*Q88)),Q88)</f>
        <v>0</v>
      </c>
      <c r="S88" s="189"/>
      <c r="T88" s="175"/>
      <c r="U88" s="197"/>
      <c r="V88" s="47"/>
      <c r="W88" s="47"/>
    </row>
  </sheetData>
  <mergeCells count="175">
    <mergeCell ref="U83:U88"/>
    <mergeCell ref="U77:U82"/>
    <mergeCell ref="V74:V76"/>
    <mergeCell ref="B77:B82"/>
    <mergeCell ref="T75:T76"/>
    <mergeCell ref="W74:W76"/>
    <mergeCell ref="U74:U76"/>
    <mergeCell ref="T83:T88"/>
    <mergeCell ref="B83:B88"/>
    <mergeCell ref="E83:E88"/>
    <mergeCell ref="F83:F84"/>
    <mergeCell ref="F85:F86"/>
    <mergeCell ref="B54:B59"/>
    <mergeCell ref="B51:B53"/>
    <mergeCell ref="B49:C49"/>
    <mergeCell ref="D49:E49"/>
    <mergeCell ref="C74:C76"/>
    <mergeCell ref="C77:C82"/>
    <mergeCell ref="C83:C88"/>
    <mergeCell ref="S54:S55"/>
    <mergeCell ref="F51:F53"/>
    <mergeCell ref="B60:B65"/>
    <mergeCell ref="H73:L73"/>
    <mergeCell ref="B74:B76"/>
    <mergeCell ref="F74:F76"/>
    <mergeCell ref="G74:G76"/>
    <mergeCell ref="D74:E75"/>
    <mergeCell ref="H74:P74"/>
    <mergeCell ref="Q74:T74"/>
    <mergeCell ref="H75:K75"/>
    <mergeCell ref="L75:P75"/>
    <mergeCell ref="T52:T53"/>
    <mergeCell ref="C60:C65"/>
    <mergeCell ref="D60:D65"/>
    <mergeCell ref="S85:S86"/>
    <mergeCell ref="S83:S84"/>
    <mergeCell ref="D9:E9"/>
    <mergeCell ref="D38:D43"/>
    <mergeCell ref="E38:E43"/>
    <mergeCell ref="F87:F88"/>
    <mergeCell ref="S87:S88"/>
    <mergeCell ref="N9:R9"/>
    <mergeCell ref="J9:M9"/>
    <mergeCell ref="N49:R49"/>
    <mergeCell ref="I49:M49"/>
    <mergeCell ref="D26:D31"/>
    <mergeCell ref="M72:Q72"/>
    <mergeCell ref="I72:L72"/>
    <mergeCell ref="G72:H72"/>
    <mergeCell ref="D83:D88"/>
    <mergeCell ref="F26:F27"/>
    <mergeCell ref="F24:F25"/>
    <mergeCell ref="F28:F29"/>
    <mergeCell ref="F20:F21"/>
    <mergeCell ref="F30:F31"/>
    <mergeCell ref="S30:S31"/>
    <mergeCell ref="Q52:Q53"/>
    <mergeCell ref="R12:R13"/>
    <mergeCell ref="Q11:T11"/>
    <mergeCell ref="L12:P12"/>
    <mergeCell ref="B2:C5"/>
    <mergeCell ref="C11:C13"/>
    <mergeCell ref="C14:C19"/>
    <mergeCell ref="C20:C25"/>
    <mergeCell ref="C26:C31"/>
    <mergeCell ref="C32:C37"/>
    <mergeCell ref="C38:C43"/>
    <mergeCell ref="B9:C9"/>
    <mergeCell ref="B14:B19"/>
    <mergeCell ref="B11:B13"/>
    <mergeCell ref="B26:B31"/>
    <mergeCell ref="B32:B37"/>
    <mergeCell ref="B38:B43"/>
    <mergeCell ref="B20:B25"/>
    <mergeCell ref="U26:U31"/>
    <mergeCell ref="U20:U25"/>
    <mergeCell ref="G9:H9"/>
    <mergeCell ref="S62:S63"/>
    <mergeCell ref="U14:U19"/>
    <mergeCell ref="S14:S15"/>
    <mergeCell ref="S18:S19"/>
    <mergeCell ref="T14:T19"/>
    <mergeCell ref="H51:P51"/>
    <mergeCell ref="S52:S53"/>
    <mergeCell ref="R52:R53"/>
    <mergeCell ref="T26:T31"/>
    <mergeCell ref="S28:S29"/>
    <mergeCell ref="S20:S21"/>
    <mergeCell ref="T20:T25"/>
    <mergeCell ref="H11:P11"/>
    <mergeCell ref="Q12:Q13"/>
    <mergeCell ref="S12:S13"/>
    <mergeCell ref="S24:S25"/>
    <mergeCell ref="H12:K12"/>
    <mergeCell ref="V51:V53"/>
    <mergeCell ref="T54:T59"/>
    <mergeCell ref="U54:U59"/>
    <mergeCell ref="F58:F59"/>
    <mergeCell ref="S58:S59"/>
    <mergeCell ref="D51:E52"/>
    <mergeCell ref="G51:G53"/>
    <mergeCell ref="C54:C59"/>
    <mergeCell ref="F54:F55"/>
    <mergeCell ref="F56:F57"/>
    <mergeCell ref="D54:D59"/>
    <mergeCell ref="E54:E59"/>
    <mergeCell ref="S56:S57"/>
    <mergeCell ref="Q51:T51"/>
    <mergeCell ref="H52:K52"/>
    <mergeCell ref="L52:P52"/>
    <mergeCell ref="C51:C53"/>
    <mergeCell ref="U51:U53"/>
    <mergeCell ref="D32:D37"/>
    <mergeCell ref="E32:E37"/>
    <mergeCell ref="F32:F33"/>
    <mergeCell ref="S32:S33"/>
    <mergeCell ref="H50:L50"/>
    <mergeCell ref="F38:F39"/>
    <mergeCell ref="F42:F43"/>
    <mergeCell ref="F34:F35"/>
    <mergeCell ref="S34:S35"/>
    <mergeCell ref="F40:F41"/>
    <mergeCell ref="S40:S41"/>
    <mergeCell ref="G49:H49"/>
    <mergeCell ref="B47:W47"/>
    <mergeCell ref="U32:U37"/>
    <mergeCell ref="F36:F37"/>
    <mergeCell ref="S36:S37"/>
    <mergeCell ref="D2:U5"/>
    <mergeCell ref="B7:W7"/>
    <mergeCell ref="U38:U43"/>
    <mergeCell ref="S42:S43"/>
    <mergeCell ref="F16:F17"/>
    <mergeCell ref="S16:S17"/>
    <mergeCell ref="F22:F23"/>
    <mergeCell ref="S22:S23"/>
    <mergeCell ref="U11:U13"/>
    <mergeCell ref="G11:G13"/>
    <mergeCell ref="F11:F13"/>
    <mergeCell ref="T12:T13"/>
    <mergeCell ref="D14:D19"/>
    <mergeCell ref="E14:E19"/>
    <mergeCell ref="F14:F15"/>
    <mergeCell ref="F18:F19"/>
    <mergeCell ref="T32:T37"/>
    <mergeCell ref="S38:S39"/>
    <mergeCell ref="T38:T43"/>
    <mergeCell ref="D11:E12"/>
    <mergeCell ref="E26:E31"/>
    <mergeCell ref="D20:D25"/>
    <mergeCell ref="E20:E25"/>
    <mergeCell ref="S26:S27"/>
    <mergeCell ref="E60:E65"/>
    <mergeCell ref="T60:T65"/>
    <mergeCell ref="F62:F63"/>
    <mergeCell ref="D77:D82"/>
    <mergeCell ref="E77:E82"/>
    <mergeCell ref="F77:F78"/>
    <mergeCell ref="S77:S78"/>
    <mergeCell ref="T77:T82"/>
    <mergeCell ref="F79:F80"/>
    <mergeCell ref="S79:S80"/>
    <mergeCell ref="Q75:Q76"/>
    <mergeCell ref="R75:R76"/>
    <mergeCell ref="S75:S76"/>
    <mergeCell ref="F81:F82"/>
    <mergeCell ref="S81:S82"/>
    <mergeCell ref="B70:W70"/>
    <mergeCell ref="B72:C72"/>
    <mergeCell ref="D72:E72"/>
    <mergeCell ref="U60:U65"/>
    <mergeCell ref="F64:F65"/>
    <mergeCell ref="S64:S65"/>
    <mergeCell ref="F60:F61"/>
    <mergeCell ref="S60:S61"/>
  </mergeCells>
  <dataValidations count="26">
    <dataValidation allowBlank="1" showInputMessage="1" showErrorMessage="1" prompt="Registre nombre completo del gestor del proceso." sqref="N9" xr:uid="{00000000-0002-0000-0100-000000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52:P52 L12:P12 L75:P75" xr:uid="{00000000-0002-0000-0100-000001000000}"/>
    <dataValidation allowBlank="1" showInputMessage="1" showErrorMessage="1" prompt="Seleccione la respuesta de la lista desplegable." sqref="L53:P53 L13:P13 L76:P76" xr:uid="{00000000-0002-0000-0100-000002000000}"/>
    <dataValidation allowBlank="1" showInputMessage="1" showErrorMessage="1" prompt="Registre el nombre del proceso." sqref="G9:H9 G49:H49 G72:H72" xr:uid="{00000000-0002-0000-0100-000003000000}"/>
    <dataValidation allowBlank="1" showInputMessage="1" showErrorMessage="1" prompt="En el formato DD/MM/AAAA, registre la fecha de diligenciamiento por parte del gestor del proceso." sqref="D9" xr:uid="{00000000-0002-0000-0100-000004000000}"/>
    <dataValidation type="list" allowBlank="1" showInputMessage="1" showErrorMessage="1" sqref="H66:T66 H44:S44" xr:uid="{00000000-0002-0000-0100-000005000000}">
      <formula1>#REF!</formula1>
    </dataValidation>
    <dataValidation allowBlank="1" showInputMessage="1" showErrorMessage="1" prompt="Seleccione la respuesta de la lista desplegable. Si no se requiere el uso de todas las filas, seleccione &quot;No aplica&quot; para aquellas que se encuentren vacias." sqref="H13 J13 H53 J53 H76 J76" xr:uid="{00000000-0002-0000-0100-000006000000}"/>
    <dataValidation allowBlank="1" showInputMessage="1" showErrorMessage="1" prompt="Registre las conclusiones u observaciones respecto al diseño de la actividad de control de acuerdo con cada uno de los atributos evaluados, cuando aplique." sqref="V51:V53 V74:V76" xr:uid="{00000000-0002-0000-0100-000007000000}"/>
    <dataValidation allowBlank="1" showInputMessage="1" showErrorMessage="1" prompt="Respuesta automática. No diligenciar." sqref="K13 K53 I13 K76 I53 I76" xr:uid="{00000000-0002-0000-0100-000008000000}"/>
    <dataValidation allowBlank="1" showInputMessage="1" showErrorMessage="1" prompt="Permiten dar un peso a la eficiencia del control y de esta manera dar movimiento en la matriz de calor, a partir de los cambios en la probabilidad y el impacto." sqref="H12 H52 H75" xr:uid="{00000000-0002-0000-0100-000009000000}"/>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74:W76" xr:uid="{00000000-0002-0000-0100-00000A000000}"/>
    <dataValidation allowBlank="1" showInputMessage="1" showErrorMessage="1" prompt="Son las variables asignadas para evaluar el diseño del control del riesgo." sqref="H51 H11 H74" xr:uid="{00000000-0002-0000-0100-00000B000000}"/>
    <dataValidation allowBlank="1" showInputMessage="1" showErrorMessage="1" promptTitle="Respuesta automática." prompt="El resultado que se genera, corresponde a la probabilidad residual que se debe registrar en la columna &quot;P&quot; de la hoja 1. Mapa y plan de tratamiento." sqref="U11:U13" xr:uid="{00000000-0002-0000-0100-00000C000000}"/>
    <dataValidation allowBlank="1" showInputMessage="1" showErrorMessage="1" promptTitle="Respuesta automática." prompt="No diligenciar. RECUERDE que para las filas vacias en las columnas &quot;H&quot; y &quot;J&quot; se debe seleccionar &quot;No aplica&quot;." sqref="T12:T13 T52:T53 T75:T76" xr:uid="{00000000-0002-0000-0100-00000D000000}"/>
    <dataValidation allowBlank="1" showInputMessage="1" showErrorMessage="1" promptTitle="Respuesta automática." prompt="No diligenciar." sqref="Q12:S13 Q52:S53 Q75:S76 E13 E53 E76" xr:uid="{00000000-0002-0000-0100-00000E000000}"/>
    <dataValidation allowBlank="1" showInputMessage="1" showErrorMessage="1" promptTitle="Respuesta automática." prompt="El resultado que se genera, corresponde a la probabilidad residual en la evaluación de la segunda línea." sqref="U51:U53" xr:uid="{00000000-0002-0000-0100-00000F000000}"/>
    <dataValidation allowBlank="1" showInputMessage="1" showErrorMessage="1" promptTitle="Respuesta automática." prompt="El resultado que se genera, corresponde a la probabilidad residual en la evaluación de la tercera línea." sqref="U74:U76" xr:uid="{00000000-0002-0000-0100-000010000000}"/>
    <dataValidation allowBlank="1" showInputMessage="1" showErrorMessage="1" prompt="Relacione el código del riesgo." sqref="B11:B13 B51:B53 B74:B76" xr:uid="{00000000-0002-0000-0100-000011000000}"/>
    <dataValidation allowBlank="1" showInputMessage="1" showErrorMessage="1" prompt="Relacione el riesgo identificado y registrado en la hoja &quot;1. Mapa y plan de tratamiento&quot;." sqref="C11:C13 C51:C53 C74:C76" xr:uid="{00000000-0002-0000-0100-000012000000}"/>
    <dataValidation allowBlank="1" showInputMessage="1" showErrorMessage="1" prompt="Seleccione de la lista desplegable, la probabilidad inherente registrada en la hoja &quot;1. Mapa y plan de tratamiento&quot;, columna J." sqref="D13 D53 D76" xr:uid="{00000000-0002-0000-0100-000013000000}"/>
    <dataValidation allowBlank="1" showInputMessage="1" showErrorMessage="1" prompt="Relacione la causa del riesgo identificado en la hoja &quot;1. Mapa y plan de tratamiento&quot;. Si cuenta con mas de tres causas, copie e inserte cuantas filas adicionales requiera." sqref="F11:F13 F51:F53 F74:F76" xr:uid="{00000000-0002-0000-0100-000014000000}"/>
    <dataValidation allowBlank="1" showInputMessage="1" showErrorMessage="1" prompt="Relacione la actividad de control registrada en la hoja &quot;1. Mapa y plan de tratamiento&quot;. Si cuenta con mas de dos controles por causa, copie e inserte cuantas filas adicionales requiera." sqref="G11:G13 G51:G53 G74:G76" xr:uid="{00000000-0002-0000-0100-000015000000}"/>
    <dataValidation allowBlank="1" showInputMessage="1" showErrorMessage="1" prompt="En el formato DD/MM/AAAA, registre la fecha de diligenciamiento por parte del responsable de la evaluación en calidad de tercera línea." sqref="D72:E72" xr:uid="{00000000-0002-0000-0100-000016000000}"/>
    <dataValidation allowBlank="1" showInputMessage="1" showErrorMessage="1" prompt="En el formato DD/MM/AAAA, registre la fecha de diligenciamiento por parte del responsable de la revisión en calidad de segunda línea." sqref="D49:E49" xr:uid="{00000000-0002-0000-0100-000017000000}"/>
    <dataValidation allowBlank="1" showInputMessage="1" showErrorMessage="1" prompt="Registre nombre completo de la persona que realiza la evaluación en calidad de segunda línea (Subdirección de Diseño, Evaluación y Sistematización)." sqref="N49:R49" xr:uid="{00000000-0002-0000-0100-000018000000}"/>
    <dataValidation allowBlank="1" showInputMessage="1" showErrorMessage="1" prompt="Registre nombre completo de la persona que realiza la evaluación en calidad de tercera línea (Oficina de Control Interno)." sqref="M72:Q72" xr:uid="{00000000-0002-0000-0100-000019000000}"/>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44" max="16383" man="1"/>
  </rowBreaks>
  <colBreaks count="1" manualBreakCount="1">
    <brk id="22" max="1048575" man="1"/>
  </colBreaks>
  <ignoredErrors>
    <ignoredError sqref="F14:G14 F20:G21 F16:G16 F15 F17 F19" unlocked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1A000000}">
          <x14:formula1>
            <xm:f>Criterios!$E$14:$E$15</xm:f>
          </x14:formula1>
          <xm:sqref>N14:N43 N54:N65 N85:N88</xm:sqref>
        </x14:dataValidation>
        <x14:dataValidation type="list" allowBlank="1" showInputMessage="1" showErrorMessage="1" xr:uid="{00000000-0002-0000-0100-00001B000000}">
          <x14:formula1>
            <xm:f>Criterios!$B$14:$B$15</xm:f>
          </x14:formula1>
          <xm:sqref>O54:O65 O14:O43 O85:O88</xm:sqref>
        </x14:dataValidation>
        <x14:dataValidation type="list" allowBlank="1" showInputMessage="1" showErrorMessage="1" xr:uid="{00000000-0002-0000-0100-00001C000000}">
          <x14:formula1>
            <xm:f>Criterios!$E$12:$E$13</xm:f>
          </x14:formula1>
          <xm:sqref>M14:M43 M54:M65 M85:M88</xm:sqref>
        </x14:dataValidation>
        <x14:dataValidation type="list" allowBlank="1" showInputMessage="1" showErrorMessage="1" xr:uid="{00000000-0002-0000-0100-00001D000000}">
          <x14:formula1>
            <xm:f>Criterios!$B$7:$B$9</xm:f>
          </x14:formula1>
          <xm:sqref>J54:J65 J14:J43</xm:sqref>
        </x14:dataValidation>
        <x14:dataValidation type="list" allowBlank="1" showInputMessage="1" showErrorMessage="1" xr:uid="{00000000-0002-0000-0100-00001E000000}">
          <x14:formula1>
            <xm:f>Criterios!$B$3:$B$6</xm:f>
          </x14:formula1>
          <xm:sqref>H54:H65 H14:H43</xm:sqref>
        </x14:dataValidation>
        <x14:dataValidation type="list" allowBlank="1" showInputMessage="1" showErrorMessage="1" xr:uid="{00000000-0002-0000-0100-00001F000000}">
          <x14:formula1>
            <xm:f>Criterios!$A$20:$A$24</xm:f>
          </x14:formula1>
          <xm:sqref>D54:D65 D14:D43</xm:sqref>
        </x14:dataValidation>
        <x14:dataValidation type="list" allowBlank="1" showInputMessage="1" showErrorMessage="1" xr:uid="{00000000-0002-0000-0100-000020000000}">
          <x14:formula1>
            <xm:f>Criterios!$B$16:$B$17</xm:f>
          </x14:formula1>
          <xm:sqref>P14:P43 P54:P65 P85:P88</xm:sqref>
        </x14:dataValidation>
        <x14:dataValidation type="list" allowBlank="1" showInputMessage="1" showErrorMessage="1" xr:uid="{00000000-0002-0000-0100-000021000000}">
          <x14:formula1>
            <xm:f>Criterios!$B$12:$B$13</xm:f>
          </x14:formula1>
          <xm:sqref>L14:L43 L54:L65 L85:L88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4"/>
  <sheetViews>
    <sheetView view="pageBreakPreview" topLeftCell="A8" zoomScaleNormal="100" zoomScaleSheetLayoutView="100" workbookViewId="0">
      <selection sqref="A1:B4"/>
    </sheetView>
  </sheetViews>
  <sheetFormatPr baseColWidth="10" defaultColWidth="11.42578125" defaultRowHeight="12.75" x14ac:dyDescent="0.2"/>
  <cols>
    <col min="1" max="1" width="0.7109375" style="27" customWidth="1"/>
    <col min="2" max="2" width="21.42578125" customWidth="1"/>
    <col min="3" max="7" width="20.5703125" customWidth="1"/>
    <col min="8" max="8" width="2.42578125" customWidth="1"/>
    <col min="9" max="11" width="11.42578125" hidden="1" customWidth="1"/>
  </cols>
  <sheetData>
    <row r="1" spans="1:10" ht="17.25" customHeight="1" x14ac:dyDescent="0.2">
      <c r="A1" s="252"/>
      <c r="B1" s="252"/>
      <c r="C1" s="253" t="s">
        <v>0</v>
      </c>
      <c r="D1" s="254"/>
      <c r="E1" s="255"/>
      <c r="F1" s="35" t="s">
        <v>1</v>
      </c>
      <c r="G1" s="36" t="s">
        <v>2</v>
      </c>
      <c r="I1" s="4"/>
      <c r="J1" s="4"/>
    </row>
    <row r="2" spans="1:10" ht="17.25" customHeight="1" x14ac:dyDescent="0.2">
      <c r="A2" s="252"/>
      <c r="B2" s="252"/>
      <c r="C2" s="256"/>
      <c r="D2" s="257"/>
      <c r="E2" s="258"/>
      <c r="F2" s="35" t="s">
        <v>3</v>
      </c>
      <c r="G2" s="36">
        <v>4</v>
      </c>
      <c r="I2" s="4"/>
      <c r="J2" s="4"/>
    </row>
    <row r="3" spans="1:10" ht="24.75" customHeight="1" x14ac:dyDescent="0.2">
      <c r="A3" s="252"/>
      <c r="B3" s="252"/>
      <c r="C3" s="256"/>
      <c r="D3" s="257"/>
      <c r="E3" s="258"/>
      <c r="F3" s="35" t="s">
        <v>4</v>
      </c>
      <c r="G3" s="37" t="s">
        <v>5</v>
      </c>
      <c r="I3" s="4"/>
      <c r="J3" s="4"/>
    </row>
    <row r="4" spans="1:10" ht="17.25" customHeight="1" x14ac:dyDescent="0.2">
      <c r="A4" s="252"/>
      <c r="B4" s="252"/>
      <c r="C4" s="259"/>
      <c r="D4" s="260"/>
      <c r="E4" s="261"/>
      <c r="F4" s="35" t="s">
        <v>6</v>
      </c>
      <c r="G4" s="36" t="s">
        <v>161</v>
      </c>
      <c r="I4" s="4"/>
      <c r="J4" s="4"/>
    </row>
    <row r="5" spans="1:10" x14ac:dyDescent="0.2">
      <c r="B5" s="17"/>
      <c r="C5" s="17"/>
      <c r="D5" s="17"/>
      <c r="E5" s="17"/>
      <c r="F5" s="17"/>
      <c r="G5" s="84" t="s">
        <v>8</v>
      </c>
      <c r="I5" s="4"/>
      <c r="J5" s="4"/>
    </row>
    <row r="6" spans="1:10" x14ac:dyDescent="0.2">
      <c r="B6" s="31" t="s">
        <v>162</v>
      </c>
      <c r="C6" s="17"/>
      <c r="D6" s="17"/>
      <c r="E6" s="17"/>
      <c r="F6" s="17"/>
      <c r="G6" s="17"/>
      <c r="I6" s="2" t="s">
        <v>163</v>
      </c>
    </row>
    <row r="7" spans="1:10" ht="41.25" customHeight="1" x14ac:dyDescent="0.2">
      <c r="B7" s="20" t="s">
        <v>56</v>
      </c>
      <c r="C7" s="248" t="s">
        <v>164</v>
      </c>
      <c r="D7" s="248"/>
      <c r="E7" s="248"/>
      <c r="F7" s="248"/>
      <c r="G7" s="248"/>
      <c r="I7" s="15" t="s">
        <v>10</v>
      </c>
    </row>
    <row r="8" spans="1:10" ht="21" customHeight="1" x14ac:dyDescent="0.2">
      <c r="B8" s="20" t="s">
        <v>165</v>
      </c>
      <c r="C8" s="248" t="s">
        <v>166</v>
      </c>
      <c r="D8" s="248"/>
      <c r="E8" s="248"/>
      <c r="F8" s="248"/>
      <c r="G8" s="248"/>
      <c r="I8" s="15" t="s">
        <v>167</v>
      </c>
    </row>
    <row r="9" spans="1:10" ht="51.75" customHeight="1" x14ac:dyDescent="0.2">
      <c r="B9" s="20" t="s">
        <v>168</v>
      </c>
      <c r="C9" s="248" t="s">
        <v>169</v>
      </c>
      <c r="D9" s="248"/>
      <c r="E9" s="248"/>
      <c r="F9" s="248"/>
      <c r="G9" s="248"/>
      <c r="I9" s="15" t="s">
        <v>170</v>
      </c>
    </row>
    <row r="10" spans="1:10" ht="25.5" customHeight="1" x14ac:dyDescent="0.2">
      <c r="B10" s="22" t="s">
        <v>171</v>
      </c>
      <c r="C10" s="248" t="s">
        <v>172</v>
      </c>
      <c r="D10" s="248"/>
      <c r="E10" s="248"/>
      <c r="F10" s="248"/>
      <c r="G10" s="248"/>
      <c r="I10" s="2" t="s">
        <v>21</v>
      </c>
    </row>
    <row r="11" spans="1:10" ht="25.5" customHeight="1" x14ac:dyDescent="0.2">
      <c r="B11" s="20" t="s">
        <v>173</v>
      </c>
      <c r="C11" s="248" t="s">
        <v>174</v>
      </c>
      <c r="D11" s="248"/>
      <c r="E11" s="248"/>
      <c r="F11" s="248"/>
      <c r="G11" s="248"/>
      <c r="I11" t="s">
        <v>175</v>
      </c>
    </row>
    <row r="12" spans="1:10" ht="29.25" customHeight="1" x14ac:dyDescent="0.2">
      <c r="B12" s="20" t="s">
        <v>176</v>
      </c>
      <c r="C12" s="248" t="s">
        <v>177</v>
      </c>
      <c r="D12" s="248"/>
      <c r="E12" s="248"/>
      <c r="F12" s="248"/>
      <c r="G12" s="248"/>
      <c r="I12" t="s">
        <v>178</v>
      </c>
    </row>
    <row r="13" spans="1:10" ht="30" customHeight="1" x14ac:dyDescent="0.2">
      <c r="B13" s="20" t="s">
        <v>179</v>
      </c>
      <c r="C13" s="248" t="s">
        <v>180</v>
      </c>
      <c r="D13" s="248"/>
      <c r="E13" s="248"/>
      <c r="F13" s="248"/>
      <c r="G13" s="248"/>
      <c r="I13" t="s">
        <v>55</v>
      </c>
    </row>
    <row r="14" spans="1:10" ht="39.75" customHeight="1" x14ac:dyDescent="0.2">
      <c r="B14" s="20" t="s">
        <v>181</v>
      </c>
      <c r="C14" s="248" t="s">
        <v>182</v>
      </c>
      <c r="D14" s="248"/>
      <c r="E14" s="248"/>
      <c r="F14" s="248"/>
      <c r="G14" s="248"/>
    </row>
    <row r="15" spans="1:10" ht="31.5" customHeight="1" x14ac:dyDescent="0.2">
      <c r="B15" s="22" t="s">
        <v>183</v>
      </c>
      <c r="C15" s="248" t="s">
        <v>184</v>
      </c>
      <c r="D15" s="248"/>
      <c r="E15" s="248"/>
      <c r="F15" s="248"/>
      <c r="G15" s="248"/>
    </row>
    <row r="16" spans="1:10" x14ac:dyDescent="0.2">
      <c r="B16" s="22" t="s">
        <v>185</v>
      </c>
      <c r="C16" s="248" t="s">
        <v>186</v>
      </c>
      <c r="D16" s="248"/>
      <c r="E16" s="248"/>
      <c r="F16" s="248"/>
      <c r="G16" s="248"/>
    </row>
    <row r="17" spans="2:7" ht="28.5" customHeight="1" x14ac:dyDescent="0.2">
      <c r="B17" s="22" t="s">
        <v>187</v>
      </c>
      <c r="C17" s="248" t="s">
        <v>188</v>
      </c>
      <c r="D17" s="248"/>
      <c r="E17" s="248"/>
      <c r="F17" s="248"/>
      <c r="G17" s="248"/>
    </row>
    <row r="18" spans="2:7" ht="30" customHeight="1" x14ac:dyDescent="0.2">
      <c r="B18" s="22" t="s">
        <v>189</v>
      </c>
      <c r="C18" s="248" t="s">
        <v>190</v>
      </c>
      <c r="D18" s="248"/>
      <c r="E18" s="248"/>
      <c r="F18" s="248"/>
      <c r="G18" s="248"/>
    </row>
    <row r="20" spans="2:7" x14ac:dyDescent="0.2">
      <c r="B20" s="3" t="s">
        <v>191</v>
      </c>
    </row>
    <row r="21" spans="2:7" ht="29.25" customHeight="1" x14ac:dyDescent="0.2">
      <c r="B21" s="94" t="s">
        <v>192</v>
      </c>
      <c r="C21" s="6" t="s">
        <v>193</v>
      </c>
      <c r="D21" s="250" t="s">
        <v>194</v>
      </c>
      <c r="E21" s="251"/>
      <c r="F21" s="243" t="s">
        <v>195</v>
      </c>
      <c r="G21" s="244"/>
    </row>
    <row r="22" spans="2:7" ht="39.75" customHeight="1" x14ac:dyDescent="0.2">
      <c r="B22" s="100">
        <v>0.2</v>
      </c>
      <c r="C22" s="7" t="s">
        <v>196</v>
      </c>
      <c r="D22" s="249" t="s">
        <v>197</v>
      </c>
      <c r="E22" s="249"/>
      <c r="F22" s="249" t="s">
        <v>198</v>
      </c>
      <c r="G22" s="249"/>
    </row>
    <row r="23" spans="2:7" ht="39.75" customHeight="1" x14ac:dyDescent="0.2">
      <c r="B23" s="100">
        <v>0.4</v>
      </c>
      <c r="C23" s="7" t="s">
        <v>143</v>
      </c>
      <c r="D23" s="249" t="s">
        <v>199</v>
      </c>
      <c r="E23" s="249"/>
      <c r="F23" s="249" t="s">
        <v>200</v>
      </c>
      <c r="G23" s="249"/>
    </row>
    <row r="24" spans="2:7" ht="39.75" customHeight="1" x14ac:dyDescent="0.2">
      <c r="B24" s="100">
        <v>0.6</v>
      </c>
      <c r="C24" s="24" t="s">
        <v>132</v>
      </c>
      <c r="D24" s="249" t="s">
        <v>201</v>
      </c>
      <c r="E24" s="249"/>
      <c r="F24" s="249" t="s">
        <v>202</v>
      </c>
      <c r="G24" s="249"/>
    </row>
    <row r="25" spans="2:7" ht="39.75" customHeight="1" x14ac:dyDescent="0.2">
      <c r="B25" s="100">
        <v>0.8</v>
      </c>
      <c r="C25" s="7" t="s">
        <v>203</v>
      </c>
      <c r="D25" s="249" t="s">
        <v>204</v>
      </c>
      <c r="E25" s="249"/>
      <c r="F25" s="249" t="s">
        <v>205</v>
      </c>
      <c r="G25" s="249"/>
    </row>
    <row r="26" spans="2:7" ht="39.75" customHeight="1" x14ac:dyDescent="0.2">
      <c r="B26" s="100">
        <v>1</v>
      </c>
      <c r="C26" s="7" t="s">
        <v>206</v>
      </c>
      <c r="D26" s="249" t="s">
        <v>207</v>
      </c>
      <c r="E26" s="249"/>
      <c r="F26" s="249" t="s">
        <v>208</v>
      </c>
      <c r="G26" s="249"/>
    </row>
    <row r="28" spans="2:7" x14ac:dyDescent="0.2">
      <c r="B28" s="3" t="s">
        <v>209</v>
      </c>
    </row>
    <row r="29" spans="2:7" x14ac:dyDescent="0.2">
      <c r="B29" s="6" t="s">
        <v>192</v>
      </c>
      <c r="C29" s="6" t="s">
        <v>193</v>
      </c>
      <c r="D29" s="243" t="s">
        <v>210</v>
      </c>
      <c r="E29" s="244"/>
      <c r="F29" s="245" t="s">
        <v>211</v>
      </c>
      <c r="G29" s="246"/>
    </row>
    <row r="30" spans="2:7" ht="35.25" customHeight="1" x14ac:dyDescent="0.2">
      <c r="B30" s="23">
        <v>0.2</v>
      </c>
      <c r="C30" s="24" t="s">
        <v>212</v>
      </c>
      <c r="D30" s="247" t="s">
        <v>213</v>
      </c>
      <c r="E30" s="247"/>
      <c r="F30" s="242" t="s">
        <v>214</v>
      </c>
      <c r="G30" s="242"/>
    </row>
    <row r="31" spans="2:7" ht="51.75" customHeight="1" x14ac:dyDescent="0.2">
      <c r="B31" s="23">
        <v>0.4</v>
      </c>
      <c r="C31" s="7" t="s">
        <v>215</v>
      </c>
      <c r="D31" s="247" t="s">
        <v>216</v>
      </c>
      <c r="E31" s="247"/>
      <c r="F31" s="242" t="s">
        <v>217</v>
      </c>
      <c r="G31" s="242"/>
    </row>
    <row r="32" spans="2:7" ht="40.5" customHeight="1" x14ac:dyDescent="0.2">
      <c r="B32" s="23">
        <v>0.6</v>
      </c>
      <c r="C32" s="24" t="s">
        <v>218</v>
      </c>
      <c r="D32" s="247" t="s">
        <v>219</v>
      </c>
      <c r="E32" s="247"/>
      <c r="F32" s="242" t="s">
        <v>220</v>
      </c>
      <c r="G32" s="242"/>
    </row>
    <row r="33" spans="1:11" ht="40.5" customHeight="1" x14ac:dyDescent="0.2">
      <c r="B33" s="23">
        <v>0.8</v>
      </c>
      <c r="C33" s="7" t="s">
        <v>221</v>
      </c>
      <c r="D33" s="247" t="s">
        <v>222</v>
      </c>
      <c r="E33" s="247"/>
      <c r="F33" s="242" t="s">
        <v>223</v>
      </c>
      <c r="G33" s="242"/>
    </row>
    <row r="34" spans="1:11" ht="40.5" customHeight="1" x14ac:dyDescent="0.2">
      <c r="B34" s="23">
        <v>1</v>
      </c>
      <c r="C34" s="7" t="s">
        <v>224</v>
      </c>
      <c r="D34" s="247" t="s">
        <v>225</v>
      </c>
      <c r="E34" s="247"/>
      <c r="F34" s="242" t="s">
        <v>226</v>
      </c>
      <c r="G34" s="242"/>
    </row>
    <row r="36" spans="1:11" x14ac:dyDescent="0.2">
      <c r="B36" s="3" t="s">
        <v>227</v>
      </c>
    </row>
    <row r="37" spans="1:11" s="30" customFormat="1" ht="12" hidden="1" customHeight="1" x14ac:dyDescent="0.2">
      <c r="A37" s="27"/>
      <c r="B37" s="32" t="s">
        <v>228</v>
      </c>
      <c r="C37" s="33" t="s">
        <v>229</v>
      </c>
      <c r="D37" s="34" t="s">
        <v>85</v>
      </c>
      <c r="E37" s="34" t="s">
        <v>58</v>
      </c>
      <c r="F37" s="33" t="s">
        <v>230</v>
      </c>
      <c r="G37" s="34" t="s">
        <v>231</v>
      </c>
    </row>
    <row r="38" spans="1:11" s="30" customFormat="1" ht="12" hidden="1" customHeight="1" x14ac:dyDescent="0.2">
      <c r="A38" s="27"/>
      <c r="B38" s="28">
        <v>1</v>
      </c>
      <c r="C38" s="29">
        <v>2</v>
      </c>
      <c r="D38" s="29">
        <v>3</v>
      </c>
      <c r="E38" s="29">
        <v>4</v>
      </c>
      <c r="F38" s="29">
        <v>5</v>
      </c>
      <c r="G38" s="29">
        <v>6</v>
      </c>
    </row>
    <row r="39" spans="1:11" ht="24.75" customHeight="1" x14ac:dyDescent="0.2">
      <c r="A39" s="27">
        <v>1</v>
      </c>
      <c r="B39" s="22" t="s">
        <v>232</v>
      </c>
      <c r="C39" s="101" t="s">
        <v>233</v>
      </c>
      <c r="D39" s="101" t="s">
        <v>233</v>
      </c>
      <c r="E39" s="101" t="s">
        <v>233</v>
      </c>
      <c r="F39" s="101" t="s">
        <v>233</v>
      </c>
      <c r="G39" s="102" t="s">
        <v>234</v>
      </c>
      <c r="I39" s="15" t="s">
        <v>235</v>
      </c>
      <c r="J39" s="15" t="s">
        <v>229</v>
      </c>
    </row>
    <row r="40" spans="1:11" ht="24.75" customHeight="1" x14ac:dyDescent="0.2">
      <c r="A40" s="27">
        <v>2</v>
      </c>
      <c r="B40" s="22" t="s">
        <v>236</v>
      </c>
      <c r="C40" s="103" t="s">
        <v>218</v>
      </c>
      <c r="D40" s="103" t="s">
        <v>218</v>
      </c>
      <c r="E40" s="101" t="s">
        <v>233</v>
      </c>
      <c r="F40" s="101" t="s">
        <v>233</v>
      </c>
      <c r="G40" s="102" t="s">
        <v>234</v>
      </c>
      <c r="I40" s="15" t="s">
        <v>62</v>
      </c>
      <c r="J40" s="15" t="s">
        <v>85</v>
      </c>
    </row>
    <row r="41" spans="1:11" ht="24.75" customHeight="1" x14ac:dyDescent="0.2">
      <c r="A41" s="27">
        <v>3</v>
      </c>
      <c r="B41" s="22" t="s">
        <v>57</v>
      </c>
      <c r="C41" s="103" t="s">
        <v>218</v>
      </c>
      <c r="D41" s="103" t="s">
        <v>218</v>
      </c>
      <c r="E41" s="103" t="s">
        <v>218</v>
      </c>
      <c r="F41" s="101" t="s">
        <v>233</v>
      </c>
      <c r="G41" s="102" t="s">
        <v>234</v>
      </c>
      <c r="I41" s="15" t="s">
        <v>57</v>
      </c>
      <c r="J41" s="15" t="s">
        <v>58</v>
      </c>
    </row>
    <row r="42" spans="1:11" ht="24.75" customHeight="1" x14ac:dyDescent="0.2">
      <c r="A42" s="27">
        <v>4</v>
      </c>
      <c r="B42" s="22" t="s">
        <v>62</v>
      </c>
      <c r="C42" s="25" t="s">
        <v>237</v>
      </c>
      <c r="D42" s="103" t="s">
        <v>218</v>
      </c>
      <c r="E42" s="103" t="s">
        <v>218</v>
      </c>
      <c r="F42" s="101" t="s">
        <v>233</v>
      </c>
      <c r="G42" s="102" t="s">
        <v>234</v>
      </c>
      <c r="I42" s="15" t="s">
        <v>236</v>
      </c>
      <c r="J42" s="15" t="s">
        <v>230</v>
      </c>
    </row>
    <row r="43" spans="1:11" ht="24.75" customHeight="1" x14ac:dyDescent="0.2">
      <c r="A43" s="27">
        <v>5</v>
      </c>
      <c r="B43" s="22" t="s">
        <v>235</v>
      </c>
      <c r="C43" s="25" t="s">
        <v>237</v>
      </c>
      <c r="D43" s="25" t="s">
        <v>237</v>
      </c>
      <c r="E43" s="103" t="s">
        <v>218</v>
      </c>
      <c r="F43" s="101" t="s">
        <v>233</v>
      </c>
      <c r="G43" s="102" t="s">
        <v>234</v>
      </c>
      <c r="I43" s="15" t="s">
        <v>232</v>
      </c>
      <c r="J43" s="15" t="s">
        <v>231</v>
      </c>
    </row>
    <row r="44" spans="1:11" ht="25.5" x14ac:dyDescent="0.2">
      <c r="B44" s="5" t="s">
        <v>238</v>
      </c>
      <c r="C44" s="26" t="s">
        <v>229</v>
      </c>
      <c r="D44" s="22" t="s">
        <v>85</v>
      </c>
      <c r="E44" s="22" t="s">
        <v>58</v>
      </c>
      <c r="F44" s="26" t="s">
        <v>230</v>
      </c>
      <c r="G44" s="22" t="s">
        <v>231</v>
      </c>
    </row>
    <row r="47" spans="1:11" ht="38.25" x14ac:dyDescent="0.2">
      <c r="I47" s="16" t="s">
        <v>25</v>
      </c>
      <c r="J47" s="16" t="s">
        <v>239</v>
      </c>
      <c r="K47" s="16" t="s">
        <v>240</v>
      </c>
    </row>
    <row r="48" spans="1:11" x14ac:dyDescent="0.2">
      <c r="I48" s="15" t="s">
        <v>60</v>
      </c>
      <c r="J48" s="15" t="s">
        <v>241</v>
      </c>
      <c r="K48" t="s">
        <v>61</v>
      </c>
    </row>
    <row r="49" spans="9:11" x14ac:dyDescent="0.2">
      <c r="I49" s="15" t="s">
        <v>242</v>
      </c>
      <c r="J49" s="15" t="s">
        <v>66</v>
      </c>
      <c r="K49" s="15" t="s">
        <v>243</v>
      </c>
    </row>
    <row r="51" spans="9:11" x14ac:dyDescent="0.2">
      <c r="I51" s="2" t="s">
        <v>244</v>
      </c>
      <c r="J51" s="2" t="s">
        <v>245</v>
      </c>
    </row>
    <row r="52" spans="9:11" x14ac:dyDescent="0.2">
      <c r="I52" t="s">
        <v>241</v>
      </c>
      <c r="J52" t="s">
        <v>246</v>
      </c>
    </row>
    <row r="53" spans="9:11" x14ac:dyDescent="0.2">
      <c r="I53" t="s">
        <v>66</v>
      </c>
      <c r="J53" t="s">
        <v>63</v>
      </c>
    </row>
    <row r="54" spans="9:11" x14ac:dyDescent="0.2">
      <c r="J54" t="s">
        <v>247</v>
      </c>
    </row>
  </sheetData>
  <mergeCells count="38">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 ref="D25:E25"/>
    <mergeCell ref="D21:E21"/>
    <mergeCell ref="F24:G24"/>
    <mergeCell ref="F25:G25"/>
    <mergeCell ref="F23:G23"/>
    <mergeCell ref="C13:G13"/>
    <mergeCell ref="C14:G14"/>
    <mergeCell ref="C15:G15"/>
    <mergeCell ref="D22:E22"/>
    <mergeCell ref="D23:E23"/>
    <mergeCell ref="F33:G33"/>
    <mergeCell ref="F34:G34"/>
    <mergeCell ref="D29:E29"/>
    <mergeCell ref="F29:G29"/>
    <mergeCell ref="F30:G30"/>
    <mergeCell ref="D30:E30"/>
    <mergeCell ref="D32:E32"/>
    <mergeCell ref="D33:E33"/>
    <mergeCell ref="D34:E34"/>
    <mergeCell ref="F32:G32"/>
    <mergeCell ref="F31:G31"/>
    <mergeCell ref="D31:E31"/>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count="1">
    <dataValidation type="list" allowBlank="1" showInputMessage="1" showErrorMessage="1" sqref="F44 C37 C44 F37" xr:uid="{00000000-0002-0000-0200-000000000000}">
      <formula1>$J$39:$J$43</formula1>
    </dataValidation>
  </dataValidations>
  <pageMargins left="0.7" right="0.7" top="0.75" bottom="0.75" header="0.3" footer="0.3"/>
  <pageSetup scale="26"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4"/>
  <sheetViews>
    <sheetView workbookViewId="0"/>
  </sheetViews>
  <sheetFormatPr baseColWidth="10" defaultColWidth="11.42578125" defaultRowHeight="15" x14ac:dyDescent="0.25"/>
  <cols>
    <col min="1" max="1" width="21.28515625" style="78" bestFit="1" customWidth="1"/>
    <col min="2" max="2" width="11.42578125" style="78"/>
    <col min="3" max="3" width="4.5703125" style="78" bestFit="1" customWidth="1"/>
    <col min="4" max="16384" width="11.42578125" style="78"/>
  </cols>
  <sheetData>
    <row r="2" spans="1:5" x14ac:dyDescent="0.25">
      <c r="A2" s="264" t="s">
        <v>248</v>
      </c>
      <c r="B2" s="264"/>
      <c r="C2" s="264"/>
    </row>
    <row r="3" spans="1:5" x14ac:dyDescent="0.25">
      <c r="A3" s="263" t="s">
        <v>249</v>
      </c>
      <c r="B3" s="78" t="s">
        <v>133</v>
      </c>
      <c r="C3" s="81">
        <v>0.25</v>
      </c>
    </row>
    <row r="4" spans="1:5" x14ac:dyDescent="0.25">
      <c r="A4" s="263"/>
      <c r="B4" s="78" t="s">
        <v>250</v>
      </c>
      <c r="C4" s="81">
        <v>0.15</v>
      </c>
    </row>
    <row r="5" spans="1:5" x14ac:dyDescent="0.25">
      <c r="A5" s="263"/>
      <c r="B5" s="78" t="s">
        <v>251</v>
      </c>
      <c r="C5" s="81">
        <v>0.1</v>
      </c>
    </row>
    <row r="6" spans="1:5" x14ac:dyDescent="0.25">
      <c r="A6" s="80"/>
      <c r="B6" s="78" t="s">
        <v>140</v>
      </c>
    </row>
    <row r="7" spans="1:5" x14ac:dyDescent="0.25">
      <c r="A7" s="263" t="s">
        <v>252</v>
      </c>
      <c r="B7" s="78" t="s">
        <v>253</v>
      </c>
      <c r="C7" s="81">
        <v>0.25</v>
      </c>
    </row>
    <row r="8" spans="1:5" x14ac:dyDescent="0.25">
      <c r="A8" s="263"/>
      <c r="B8" s="78" t="s">
        <v>61</v>
      </c>
      <c r="C8" s="81">
        <v>0.15</v>
      </c>
    </row>
    <row r="9" spans="1:5" x14ac:dyDescent="0.25">
      <c r="A9" s="80"/>
      <c r="B9" s="78" t="s">
        <v>140</v>
      </c>
      <c r="C9" s="81"/>
    </row>
    <row r="11" spans="1:5" x14ac:dyDescent="0.25">
      <c r="A11" s="264" t="s">
        <v>254</v>
      </c>
      <c r="B11" s="264"/>
      <c r="C11" s="264"/>
    </row>
    <row r="12" spans="1:5" x14ac:dyDescent="0.25">
      <c r="A12" s="263" t="s">
        <v>128</v>
      </c>
      <c r="B12" s="78" t="s">
        <v>134</v>
      </c>
      <c r="C12" s="81"/>
      <c r="D12" s="263" t="s">
        <v>38</v>
      </c>
      <c r="E12" s="78" t="s">
        <v>135</v>
      </c>
    </row>
    <row r="13" spans="1:5" x14ac:dyDescent="0.25">
      <c r="A13" s="263"/>
      <c r="B13" s="78" t="s">
        <v>255</v>
      </c>
      <c r="C13" s="81"/>
      <c r="D13" s="263"/>
      <c r="E13" s="78" t="s">
        <v>256</v>
      </c>
    </row>
    <row r="14" spans="1:5" x14ac:dyDescent="0.25">
      <c r="A14" s="263" t="s">
        <v>130</v>
      </c>
      <c r="B14" s="78" t="s">
        <v>137</v>
      </c>
      <c r="C14" s="81"/>
      <c r="D14" s="263" t="s">
        <v>257</v>
      </c>
      <c r="E14" s="78" t="s">
        <v>136</v>
      </c>
    </row>
    <row r="15" spans="1:5" x14ac:dyDescent="0.25">
      <c r="A15" s="263"/>
      <c r="B15" s="78" t="s">
        <v>258</v>
      </c>
      <c r="C15" s="81"/>
      <c r="D15" s="263"/>
      <c r="E15" s="78" t="s">
        <v>259</v>
      </c>
    </row>
    <row r="16" spans="1:5" x14ac:dyDescent="0.25">
      <c r="A16" s="263" t="s">
        <v>131</v>
      </c>
      <c r="B16" s="78" t="s">
        <v>138</v>
      </c>
    </row>
    <row r="17" spans="1:2" x14ac:dyDescent="0.25">
      <c r="A17" s="263"/>
      <c r="B17" s="78" t="s">
        <v>260</v>
      </c>
    </row>
    <row r="19" spans="1:2" x14ac:dyDescent="0.25">
      <c r="A19" s="262" t="s">
        <v>261</v>
      </c>
      <c r="B19" s="262"/>
    </row>
    <row r="20" spans="1:2" x14ac:dyDescent="0.25">
      <c r="A20" s="78" t="s">
        <v>196</v>
      </c>
      <c r="B20" s="79">
        <v>0.2</v>
      </c>
    </row>
    <row r="21" spans="1:2" x14ac:dyDescent="0.25">
      <c r="A21" s="78" t="s">
        <v>143</v>
      </c>
      <c r="B21" s="79">
        <v>0.4</v>
      </c>
    </row>
    <row r="22" spans="1:2" x14ac:dyDescent="0.25">
      <c r="A22" s="78" t="s">
        <v>132</v>
      </c>
      <c r="B22" s="79">
        <v>0.6</v>
      </c>
    </row>
    <row r="23" spans="1:2" x14ac:dyDescent="0.25">
      <c r="A23" s="78" t="s">
        <v>203</v>
      </c>
      <c r="B23" s="79">
        <v>0.8</v>
      </c>
    </row>
    <row r="24" spans="1:2" x14ac:dyDescent="0.25">
      <c r="A24" s="78" t="s">
        <v>206</v>
      </c>
      <c r="B24" s="79">
        <v>1</v>
      </c>
    </row>
  </sheetData>
  <mergeCells count="10">
    <mergeCell ref="D12:D13"/>
    <mergeCell ref="D14:D15"/>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1. Mapa y plan de tratamiento</vt:lpstr>
      <vt:lpstr>2. Evaluación de controles</vt:lpstr>
      <vt:lpstr>Anexos</vt:lpstr>
      <vt:lpstr>Criterios</vt:lpstr>
      <vt:lpstr>'1. Mapa y plan de tratamiento'!Área_de_impresión</vt:lpstr>
      <vt:lpstr>'2. Evaluación de controles'!Área_de_impresión</vt:lpstr>
      <vt:lpstr>Anexos!Área_de_impresión</vt:lpstr>
      <vt:lpstr>'2. Evaluación de controles'!Títulos_a_imprimir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Sofy Lorena Arenas Vera</cp:lastModifiedBy>
  <cp:revision/>
  <dcterms:created xsi:type="dcterms:W3CDTF">2008-09-05T19:47:59Z</dcterms:created>
  <dcterms:modified xsi:type="dcterms:W3CDTF">2026-01-28T23:45:53Z</dcterms:modified>
  <cp:category/>
  <cp:contentStatus/>
</cp:coreProperties>
</file>